
<file path=[Content_Types].xml><?xml version="1.0" encoding="utf-8"?>
<Types xmlns="http://schemas.openxmlformats.org/package/2006/content-types">
  <Override PartName="/xl/worksheets/sheet9.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showInkAnnotation="0" codeName="EstaPastaDeTrabalho" defaultThemeVersion="124226"/>
  <bookViews>
    <workbookView xWindow="0" yWindow="0" windowWidth="20730" windowHeight="11760" tabRatio="663" firstSheet="2" activeTab="2"/>
  </bookViews>
  <sheets>
    <sheet name="Instruções de Uso" sheetId="4" state="hidden" r:id="rId1"/>
    <sheet name="Planilha Orçamentária" sheetId="1" state="hidden" r:id="rId2"/>
    <sheet name="SINTÉTICA" sheetId="17" r:id="rId3"/>
    <sheet name="OBSOLETO" sheetId="2" state="hidden" r:id="rId4"/>
    <sheet name="CRON. F. FINANCEIRO" sheetId="22" r:id="rId5"/>
    <sheet name="BDI" sheetId="3" r:id="rId6"/>
    <sheet name="PLANILHA" sheetId="26" r:id="rId7"/>
    <sheet name="MM DE CÁLCULO" sheetId="23" r:id="rId8"/>
    <sheet name="Dimensionamento" sheetId="7" state="hidden" r:id="rId9"/>
    <sheet name="Reservatório" sheetId="11" state="hidden" r:id="rId10"/>
    <sheet name="CX MACROS" sheetId="15" state="hidden" r:id="rId11"/>
    <sheet name="Composição 04" sheetId="16"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 localSheetId="7">#REF!</definedName>
    <definedName name="_" localSheetId="6">#REF!</definedName>
    <definedName name="_">#REF!</definedName>
    <definedName name="__xlnm.Database">#N/A</definedName>
    <definedName name="__xlnm.Database_1" localSheetId="7">#REF!</definedName>
    <definedName name="__xlnm.Database_1" localSheetId="6">#REF!</definedName>
    <definedName name="__xlnm.Database_1">#REF!</definedName>
    <definedName name="__xlnm.Print_Titles_1" localSheetId="7">#REF!</definedName>
    <definedName name="__xlnm.Print_Titles_1" localSheetId="6">#REF!</definedName>
    <definedName name="__xlnm.Print_Titles_1">#REF!</definedName>
    <definedName name="_1Excel_BuiltIn_Print_Area_1_1" localSheetId="7">#REF!</definedName>
    <definedName name="_1Excel_BuiltIn_Print_Area_1_1" localSheetId="6">#REF!</definedName>
    <definedName name="_1Excel_BuiltIn_Print_Area_1_1">#REF!</definedName>
    <definedName name="_2Excel_BuiltIn_Print_Area_1_1_1" localSheetId="7">#REF!</definedName>
    <definedName name="_2Excel_BuiltIn_Print_Area_1_1_1" localSheetId="6">#REF!</definedName>
    <definedName name="_2Excel_BuiltIn_Print_Area_1_1_1">#REF!</definedName>
    <definedName name="_cad1">"$#REF!.$BW$13"</definedName>
    <definedName name="_xlnm._FilterDatabase" localSheetId="6" hidden="1">PLANILHA!$A$5:$H$96</definedName>
    <definedName name="_xlnm._FilterDatabase" localSheetId="2" hidden="1">SINTÉTICA!$A$5:$E$11</definedName>
    <definedName name="_Toc6712506_1">#N/A</definedName>
    <definedName name="_Toc6712507_1">#N/A</definedName>
    <definedName name="_Toc6712508_1">#N/A</definedName>
    <definedName name="_Toc6712509_1">#N/A</definedName>
    <definedName name="_Toc6712510_1">#N/A</definedName>
    <definedName name="_Toc6712511_1">#N/A</definedName>
    <definedName name="_Toc6712512_1">#N/A</definedName>
    <definedName name="_Toc6712513_1">#N/A</definedName>
    <definedName name="_Toc6712514_1">#N/A</definedName>
    <definedName name="_Toc6712515_1">#N/A</definedName>
    <definedName name="_Toc6712516_1">#N/A</definedName>
    <definedName name="_Toc6712517_1">#N/A</definedName>
    <definedName name="_Toc6712518_1">#N/A</definedName>
    <definedName name="_Toc6712519_1">#N/A</definedName>
    <definedName name="_Toc6712520_1">#N/A</definedName>
    <definedName name="a" localSheetId="7">#REF!</definedName>
    <definedName name="a" localSheetId="6">#REF!</definedName>
    <definedName name="a">#REF!</definedName>
    <definedName name="abrigo" localSheetId="7">#REF!</definedName>
    <definedName name="abrigo" localSheetId="6">#REF!</definedName>
    <definedName name="abrigo">#REF!</definedName>
    <definedName name="abrigo." localSheetId="7">#REF!</definedName>
    <definedName name="abrigo." localSheetId="6">#REF!</definedName>
    <definedName name="abrigo.">#REF!</definedName>
    <definedName name="aduela" localSheetId="7">#REF!</definedName>
    <definedName name="aduela" localSheetId="6">#REF!</definedName>
    <definedName name="aduela">#REF!</definedName>
    <definedName name="ADUTORA" localSheetId="7">OFFSET(#REF!,0,IF(#REF!=#REF!,0,1),IF(#REF!=#REF!,1,6),1)</definedName>
    <definedName name="ADUTORA" localSheetId="6">OFFSET(#REF!,0,IF(#REF!=#REF!,0,1),IF(#REF!=#REF!,1,6),1)</definedName>
    <definedName name="ADUTORA">OFFSET(#REF!,0,IF(#REF!=#REF!,0,1),IF(#REF!=#REF!,1,6),1)</definedName>
    <definedName name="Alvenaria" localSheetId="7">#REF!</definedName>
    <definedName name="Alvenaria" localSheetId="6">#REF!</definedName>
    <definedName name="Alvenaria">#REF!</definedName>
    <definedName name="Alvenaria_Mat" localSheetId="7">#REF!</definedName>
    <definedName name="Alvenaria_Mat" localSheetId="6">#REF!</definedName>
    <definedName name="Alvenaria_Mat">#REF!</definedName>
    <definedName name="Alvenaria_MO" localSheetId="7">#REF!</definedName>
    <definedName name="Alvenaria_MO" localSheetId="6">#REF!</definedName>
    <definedName name="Alvenaria_MO">#REF!</definedName>
    <definedName name="Analítico_02.01.002" localSheetId="6">#REF!</definedName>
    <definedName name="Analítico_02.01.002">#REF!</definedName>
    <definedName name="Analítico_02.01.003" localSheetId="6">#REF!</definedName>
    <definedName name="Analítico_02.01.003">#REF!</definedName>
    <definedName name="Analítico_02.01.004" localSheetId="6">#REF!</definedName>
    <definedName name="Analítico_02.01.004">#REF!</definedName>
    <definedName name="_xlnm.Print_Area" localSheetId="5">BDI!$A$1:$M$46</definedName>
    <definedName name="_xlnm.Print_Area" localSheetId="7">'MM DE CÁLCULO'!$A$1:$X$393</definedName>
    <definedName name="_xlnm.Print_Area" localSheetId="6">PLANILHA!$A$1:$H$112</definedName>
    <definedName name="_xlnm.Print_Area" localSheetId="1">'Planilha Orçamentária'!$A$1:$J$660</definedName>
    <definedName name="_xlnm.Print_Area" localSheetId="2">SINTÉTICA!$A$1:$E$25</definedName>
    <definedName name="atual">[1]Imai03!$A$2:$D$3535</definedName>
    <definedName name="bdi" localSheetId="7">#REF!</definedName>
    <definedName name="bdi" localSheetId="6">#REF!</definedName>
    <definedName name="bdi">#REF!</definedName>
    <definedName name="cadm">[2]Thorn!$CD$14</definedName>
    <definedName name="Cobertura" localSheetId="7">#REF!</definedName>
    <definedName name="Cobertura" localSheetId="6">#REF!</definedName>
    <definedName name="Cobertura">#REF!</definedName>
    <definedName name="Cobertura_Mat" localSheetId="7">#REF!</definedName>
    <definedName name="Cobertura_Mat" localSheetId="6">#REF!</definedName>
    <definedName name="Cobertura_Mat">#REF!</definedName>
    <definedName name="Cobertura_MO" localSheetId="7">#REF!</definedName>
    <definedName name="Cobertura_MO" localSheetId="6">#REF!</definedName>
    <definedName name="Cobertura_MO">#REF!</definedName>
    <definedName name="CONSUMOINSUMOJ188" localSheetId="6">#REF!</definedName>
    <definedName name="CONSUMOINSUMOJ188">#REF!</definedName>
    <definedName name="CRONOGRAMAf" localSheetId="7">#REF!</definedName>
    <definedName name="CRONOGRAMAf" localSheetId="6">#REF!</definedName>
    <definedName name="CRONOGRAMAf">#REF!</definedName>
    <definedName name="CRONOGRAMAi" localSheetId="7">#REF!</definedName>
    <definedName name="CRONOGRAMAi" localSheetId="6">#REF!</definedName>
    <definedName name="CRONOGRAMAi">#REF!</definedName>
    <definedName name="CURVAINSUMO181" localSheetId="6">#REF!</definedName>
    <definedName name="CURVAINSUMO181">#REF!</definedName>
    <definedName name="CURVAINSUMO188" localSheetId="6">#REF!</definedName>
    <definedName name="CURVAINSUMO188">#REF!</definedName>
    <definedName name="CURVAINSUMO191" localSheetId="6">#REF!</definedName>
    <definedName name="CURVAINSUMO191">#REF!</definedName>
    <definedName name="CURVAINSUMOH10" localSheetId="6">#REF!</definedName>
    <definedName name="CURVAINSUMOH10">#REF!</definedName>
    <definedName name="CURVAINSUMOH107" localSheetId="6">#REF!</definedName>
    <definedName name="CURVAINSUMOH107">#REF!</definedName>
    <definedName name="CURVAINSUMOH11" localSheetId="6">#REF!</definedName>
    <definedName name="CURVAINSUMOH11">#REF!</definedName>
    <definedName name="CURVAINSUMOH119" localSheetId="6">#REF!</definedName>
    <definedName name="CURVAINSUMOH119">#REF!</definedName>
    <definedName name="CURVAINSUMOH121" localSheetId="6">#REF!</definedName>
    <definedName name="CURVAINSUMOH121">#REF!</definedName>
    <definedName name="CURVAINSUMOH124" localSheetId="6">#REF!</definedName>
    <definedName name="CURVAINSUMOH124">#REF!</definedName>
    <definedName name="CURVAINSUMOH125" localSheetId="6">#REF!</definedName>
    <definedName name="CURVAINSUMOH125">#REF!</definedName>
    <definedName name="CURVAINSUMOH138" localSheetId="6">#REF!</definedName>
    <definedName name="CURVAINSUMOH138">#REF!</definedName>
    <definedName name="CURVAINSUMOH139" localSheetId="6">#REF!</definedName>
    <definedName name="CURVAINSUMOH139">#REF!</definedName>
    <definedName name="CURVAINSUMOH14" localSheetId="6">#REF!</definedName>
    <definedName name="CURVAINSUMOH14">#REF!</definedName>
    <definedName name="CURVAINSUMOH140" localSheetId="6">#REF!</definedName>
    <definedName name="CURVAINSUMOH140">#REF!</definedName>
    <definedName name="CURVAINSUMOH144" localSheetId="6">#REF!</definedName>
    <definedName name="CURVAINSUMOH144">#REF!</definedName>
    <definedName name="CURVAINSUMOH163" localSheetId="6">#REF!</definedName>
    <definedName name="CURVAINSUMOH163">#REF!</definedName>
    <definedName name="CURVAINSUMOH166" localSheetId="6">#REF!</definedName>
    <definedName name="CURVAINSUMOH166">#REF!</definedName>
    <definedName name="CURVAINSUMOH167" localSheetId="6">#REF!</definedName>
    <definedName name="CURVAINSUMOH167">#REF!</definedName>
    <definedName name="CURVAINSUMOH171" localSheetId="6">#REF!</definedName>
    <definedName name="CURVAINSUMOH171">#REF!</definedName>
    <definedName name="CURVAINSUMOH174" localSheetId="6">#REF!</definedName>
    <definedName name="CURVAINSUMOH174">#REF!</definedName>
    <definedName name="CURVAINSUMOH179" localSheetId="6">#REF!</definedName>
    <definedName name="CURVAINSUMOH179">#REF!</definedName>
    <definedName name="CURVAINSUMOH180" localSheetId="6">#REF!</definedName>
    <definedName name="CURVAINSUMOH180">#REF!</definedName>
    <definedName name="CURVAINSUMOH181" localSheetId="6">#REF!</definedName>
    <definedName name="CURVAINSUMOH181">#REF!</definedName>
    <definedName name="CURVAINSUMOH184" localSheetId="6">#REF!</definedName>
    <definedName name="CURVAINSUMOH184">#REF!</definedName>
    <definedName name="CURVAINSUMOH185" localSheetId="6">#REF!</definedName>
    <definedName name="CURVAINSUMOH185">#REF!</definedName>
    <definedName name="CURVAINSUMOH186" localSheetId="6">#REF!</definedName>
    <definedName name="CURVAINSUMOH186">#REF!</definedName>
    <definedName name="CURVAINSUMOH187" localSheetId="6">#REF!</definedName>
    <definedName name="CURVAINSUMOH187">#REF!</definedName>
    <definedName name="CURVAINSUMOH21" localSheetId="6">#REF!</definedName>
    <definedName name="CURVAINSUMOH21">#REF!</definedName>
    <definedName name="CURVAINSUMOH211" localSheetId="6">#REF!</definedName>
    <definedName name="CURVAINSUMOH211">#REF!</definedName>
    <definedName name="CURVAINSUMOH217" localSheetId="6">#REF!</definedName>
    <definedName name="CURVAINSUMOH217">#REF!</definedName>
    <definedName name="CURVAINSUMOH221" localSheetId="6">#REF!</definedName>
    <definedName name="CURVAINSUMOH221">#REF!</definedName>
    <definedName name="CURVAINSUMOH232" localSheetId="6">#REF!</definedName>
    <definedName name="CURVAINSUMOH232">#REF!</definedName>
    <definedName name="CURVAINSUMOH236" localSheetId="6">#REF!</definedName>
    <definedName name="CURVAINSUMOH236">#REF!</definedName>
    <definedName name="CURVAINSUMOH241" localSheetId="6">#REF!</definedName>
    <definedName name="CURVAINSUMOH241">#REF!</definedName>
    <definedName name="CURVAINSUMOH246" localSheetId="6">#REF!</definedName>
    <definedName name="CURVAINSUMOH246">#REF!</definedName>
    <definedName name="CURVAINSUMOH247" localSheetId="6">#REF!</definedName>
    <definedName name="CURVAINSUMOH247">#REF!</definedName>
    <definedName name="CURVAINSUMOH249" localSheetId="6">#REF!</definedName>
    <definedName name="CURVAINSUMOH249">#REF!</definedName>
    <definedName name="CURVAINSUMOH253" localSheetId="6">#REF!</definedName>
    <definedName name="CURVAINSUMOH253">#REF!</definedName>
    <definedName name="CURVAINSUMOH26" localSheetId="6">#REF!</definedName>
    <definedName name="CURVAINSUMOH26">#REF!</definedName>
    <definedName name="CURVAINSUMOH34" localSheetId="6">#REF!</definedName>
    <definedName name="CURVAINSUMOH34">#REF!</definedName>
    <definedName name="CURVAINSUMOH42" localSheetId="6">#REF!</definedName>
    <definedName name="CURVAINSUMOH42">#REF!</definedName>
    <definedName name="CURVAINSUMOH44" localSheetId="6">#REF!</definedName>
    <definedName name="CURVAINSUMOH44">#REF!</definedName>
    <definedName name="CURVAINSUMOH50" localSheetId="6">#REF!</definedName>
    <definedName name="CURVAINSUMOH50">#REF!</definedName>
    <definedName name="CURVAINSUMOH55" localSheetId="6">#REF!</definedName>
    <definedName name="CURVAINSUMOH55">#REF!</definedName>
    <definedName name="CURVAINSUMOH62" localSheetId="6">#REF!</definedName>
    <definedName name="CURVAINSUMOH62">#REF!</definedName>
    <definedName name="CURVAINSUMOH92" localSheetId="6">#REF!</definedName>
    <definedName name="CURVAINSUMOH92">#REF!</definedName>
    <definedName name="CURVAINSUMOH97" localSheetId="6">#REF!</definedName>
    <definedName name="CURVAINSUMOH97">#REF!</definedName>
    <definedName name="CURVAINSUMOJ10" localSheetId="6">#REF!</definedName>
    <definedName name="CURVAINSUMOJ10">#REF!</definedName>
    <definedName name="CURVAINSUMOJ109" localSheetId="6">#REF!</definedName>
    <definedName name="CURVAINSUMOJ109">#REF!</definedName>
    <definedName name="CURVAINSUMOJ11" localSheetId="6">#REF!</definedName>
    <definedName name="CURVAINSUMOJ11">#REF!</definedName>
    <definedName name="CURVAINSUMOJ111" localSheetId="6">#REF!</definedName>
    <definedName name="CURVAINSUMOJ111">#REF!</definedName>
    <definedName name="CURVAINSUMOJ122" localSheetId="6">#REF!</definedName>
    <definedName name="CURVAINSUMOJ122">#REF!</definedName>
    <definedName name="CURVAINSUMOJ126" localSheetId="6">#REF!</definedName>
    <definedName name="CURVAINSUMOJ126">#REF!</definedName>
    <definedName name="CURVAINSUMOJ14" localSheetId="6">#REF!</definedName>
    <definedName name="CURVAINSUMOJ14">#REF!</definedName>
    <definedName name="CURVAINSUMOJ141" localSheetId="6">#REF!</definedName>
    <definedName name="CURVAINSUMOJ141">#REF!</definedName>
    <definedName name="CURVAINSUMOJ146" localSheetId="6">#REF!</definedName>
    <definedName name="CURVAINSUMOJ146">#REF!</definedName>
    <definedName name="CURVAINSUMOJ153" localSheetId="6">#REF!</definedName>
    <definedName name="CURVAINSUMOJ153">#REF!</definedName>
    <definedName name="CURVAINSUMOJ154" localSheetId="6">#REF!</definedName>
    <definedName name="CURVAINSUMOJ154">#REF!</definedName>
    <definedName name="CURVAINSUMOJ155" localSheetId="6">#REF!</definedName>
    <definedName name="CURVAINSUMOJ155">#REF!</definedName>
    <definedName name="CURVAINSUMOJ159" localSheetId="6">#REF!</definedName>
    <definedName name="CURVAINSUMOJ159">#REF!</definedName>
    <definedName name="CURVAINSUMOJ161" localSheetId="6">#REF!</definedName>
    <definedName name="CURVAINSUMOJ161">#REF!</definedName>
    <definedName name="CURVAINSUMOJ173" localSheetId="6">#REF!</definedName>
    <definedName name="CURVAINSUMOJ173">#REF!</definedName>
    <definedName name="CURVAINSUMOJ174" localSheetId="6">#REF!</definedName>
    <definedName name="CURVAINSUMOJ174">#REF!</definedName>
    <definedName name="CURVAINSUMOJ188" localSheetId="6">#REF!</definedName>
    <definedName name="CURVAINSUMOJ188">#REF!</definedName>
    <definedName name="CURVAINSUMOJ191" localSheetId="6">#REF!</definedName>
    <definedName name="CURVAINSUMOJ191">#REF!</definedName>
    <definedName name="CURVAINSUMOJ192" localSheetId="6">#REF!</definedName>
    <definedName name="CURVAINSUMOJ192">#REF!</definedName>
    <definedName name="CURVAINSUMOJ197" localSheetId="6">#REF!</definedName>
    <definedName name="CURVAINSUMOJ197">#REF!</definedName>
    <definedName name="CURVAINSUMOJ201" localSheetId="6">#REF!</definedName>
    <definedName name="CURVAINSUMOJ201">#REF!</definedName>
    <definedName name="CURVAINSUMOJ220" localSheetId="6">#REF!</definedName>
    <definedName name="CURVAINSUMOJ220">#REF!</definedName>
    <definedName name="CURVAINSUMOJ86" localSheetId="6">#REF!</definedName>
    <definedName name="CURVAINSUMOJ86">#REF!</definedName>
    <definedName name="CURVAINSUMOJ90" localSheetId="6">#REF!</definedName>
    <definedName name="CURVAINSUMOJ90">#REF!</definedName>
    <definedName name="CURVAINSUMOJ97" localSheetId="6">#REF!</definedName>
    <definedName name="CURVAINSUMOJ97">#REF!</definedName>
    <definedName name="DC" localSheetId="6">#REF!</definedName>
    <definedName name="DC">#REF!</definedName>
    <definedName name="DCc" localSheetId="6">#REF!</definedName>
    <definedName name="DCc">#REF!</definedName>
    <definedName name="DESONERACAO" hidden="1">IF(OR(Import.Desoneracao="DESONERADO",Import.Desoneracao="SIM"),"SIM","NÃO")</definedName>
    <definedName name="DFponta" localSheetId="6">#REF!</definedName>
    <definedName name="DFponta">#REF!</definedName>
    <definedName name="DIMENSIONAMENTOf" localSheetId="7">#REF!</definedName>
    <definedName name="DIMENSIONAMENTOf" localSheetId="6">#REF!</definedName>
    <definedName name="DIMENSIONAMENTOf">#REF!</definedName>
    <definedName name="DIMENSIONAMENTOi" localSheetId="7">#REF!</definedName>
    <definedName name="DIMENSIONAMENTOi" localSheetId="6">#REF!</definedName>
    <definedName name="DIMENSIONAMENTOi">#REF!</definedName>
    <definedName name="div" localSheetId="6">#REF!</definedName>
    <definedName name="div">#REF!</definedName>
    <definedName name="Dponta" localSheetId="6">#REF!</definedName>
    <definedName name="Dponta">#REF!</definedName>
    <definedName name="DVerde" localSheetId="6">#REF!</definedName>
    <definedName name="DVerde">#REF!</definedName>
    <definedName name="ep" localSheetId="7">#REF!</definedName>
    <definedName name="ep" localSheetId="6">#REF!</definedName>
    <definedName name="ep">#REF!</definedName>
    <definedName name="eqi" localSheetId="6">#REF!</definedName>
    <definedName name="eqi">#REF!</definedName>
    <definedName name="Equipamentos" localSheetId="6">#REF!</definedName>
    <definedName name="Equipamentos">#REF!</definedName>
    <definedName name="Esq_Mad" localSheetId="7">#REF!</definedName>
    <definedName name="Esq_Mad" localSheetId="6">#REF!</definedName>
    <definedName name="Esq_Mad">#REF!</definedName>
    <definedName name="Esq_Mad_Mat" localSheetId="7">#REF!</definedName>
    <definedName name="Esq_Mad_Mat" localSheetId="6">#REF!</definedName>
    <definedName name="Esq_Mad_Mat">#REF!</definedName>
    <definedName name="Esq_Mad_MO" localSheetId="7">#REF!</definedName>
    <definedName name="Esq_Mad_MO" localSheetId="6">#REF!</definedName>
    <definedName name="Esq_Mad_MO">#REF!</definedName>
    <definedName name="Esq_Met" localSheetId="7">#REF!</definedName>
    <definedName name="Esq_Met" localSheetId="6">#REF!</definedName>
    <definedName name="Esq_Met">#REF!</definedName>
    <definedName name="Esq_Met_Mat" localSheetId="7">#REF!</definedName>
    <definedName name="Esq_Met_Mat" localSheetId="6">#REF!</definedName>
    <definedName name="Esq_Met_Mat">#REF!</definedName>
    <definedName name="Esq_Met_MO" localSheetId="7">#REF!</definedName>
    <definedName name="Esq_Met_MO" localSheetId="6">#REF!</definedName>
    <definedName name="Esq_Met_MO">#REF!</definedName>
    <definedName name="Estaq" localSheetId="7">#REF!</definedName>
    <definedName name="Estaq" localSheetId="6">#REF!</definedName>
    <definedName name="Estaq">#REF!</definedName>
    <definedName name="Estrutura" localSheetId="7">#REF!</definedName>
    <definedName name="Estrutura" localSheetId="6">#REF!</definedName>
    <definedName name="Estrutura">#REF!</definedName>
    <definedName name="Estrutura_Mat" localSheetId="7">#REF!</definedName>
    <definedName name="Estrutura_Mat" localSheetId="6">#REF!</definedName>
    <definedName name="Estrutura_Mat">#REF!</definedName>
    <definedName name="Estrutura_MO" localSheetId="7">#REF!</definedName>
    <definedName name="Estrutura_MO" localSheetId="6">#REF!</definedName>
    <definedName name="Estrutura_MO">#REF!</definedName>
    <definedName name="Excel_BuiltIn__FilterDatabase_1" localSheetId="6">#REF!</definedName>
    <definedName name="Excel_BuiltIn__FilterDatabase_1">#REF!</definedName>
    <definedName name="Excel_BuiltIn__FilterDatabase_2" localSheetId="6">#REF!</definedName>
    <definedName name="Excel_BuiltIn__FilterDatabase_2">#REF!</definedName>
    <definedName name="Excel_BuiltIn__FilterDatabase_3" localSheetId="6">#REF!</definedName>
    <definedName name="Excel_BuiltIn__FilterDatabase_3">#REF!</definedName>
    <definedName name="Excel_BuiltIn__FilterDatabase_6">"$#REF!.$I$1:$I$2123"</definedName>
    <definedName name="Excel_BuiltIn__FilterDatabase_8">NA()</definedName>
    <definedName name="Excel_BuiltIn_Print_Area_1">"$#REF!.$A$1:$S$67"</definedName>
    <definedName name="Excel_BuiltIn_Print_Area_1_1" localSheetId="7">#REF!</definedName>
    <definedName name="Excel_BuiltIn_Print_Area_1_1" localSheetId="6">#REF!</definedName>
    <definedName name="Excel_BuiltIn_Print_Area_1_1">#REF!</definedName>
    <definedName name="Excel_BuiltIn_Print_Area_1_1_1" localSheetId="7">#REF!</definedName>
    <definedName name="Excel_BuiltIn_Print_Area_1_1_1" localSheetId="6">#REF!</definedName>
    <definedName name="Excel_BuiltIn_Print_Area_1_1_1">#REF!</definedName>
    <definedName name="Excel_BuiltIn_Print_Area_1_1_1_1">NA()</definedName>
    <definedName name="Excel_BuiltIn_Print_Area_1_1_1_1_1">NA()</definedName>
    <definedName name="Excel_BuiltIn_Print_Area_1_1_1_1_1_1">NA()</definedName>
    <definedName name="Excel_BuiltIn_Print_Area_1_1_1_1_1_1_1">NA()</definedName>
    <definedName name="Excel_BuiltIn_Print_Area_1_1_1_1_1_1_1_1">NA()</definedName>
    <definedName name="Excel_BuiltIn_Print_Area_1_1_1_1_1_1_1_1_1">NA()</definedName>
    <definedName name="Excel_BuiltIn_Print_Area_1_1_1_1_1_1_1_1_1_1">NA()</definedName>
    <definedName name="Excel_BuiltIn_Print_Area_1_1_1_1_1_1_1_1_1_1_1">NA()</definedName>
    <definedName name="Excel_BuiltIn_Print_Area_1_1_1_1_1_1_1_1_1_1_1_1">NA()</definedName>
    <definedName name="Excel_BuiltIn_Print_Area_1_1_1_1_1_1_1_1_1_1_1_1_1">"$#REF!.$A$1:$F$10"</definedName>
    <definedName name="Excel_BuiltIn_Print_Area_1_1_1_1_1_1_1_1_1_1_1_1_1_1">NA()</definedName>
    <definedName name="Excel_BuiltIn_Print_Area_1_1_1_1_1_1_1_1_1_1_1_1_1_1_1">NA()</definedName>
    <definedName name="Excel_BuiltIn_Print_Area_1_1_1_1_1_1_1_1_1_1_1_1_1_1_1_1">"$#REF!.$B$3:$I$29"</definedName>
    <definedName name="Excel_BuiltIn_Print_Area_1_1_1_1_1_1_3">NA()</definedName>
    <definedName name="Excel_BuiltIn_Print_Area_1_1_1_1_1_2">NA()</definedName>
    <definedName name="Excel_BuiltIn_Print_Area_1_1_1_1_1_2_1">"$#REF!.$B$4:$I$29"</definedName>
    <definedName name="Excel_BuiltIn_Print_Area_1_1_1_1_1_3">NA()</definedName>
    <definedName name="Excel_BuiltIn_Print_Area_1_1_1_1_2">NA()</definedName>
    <definedName name="Excel_BuiltIn_Print_Area_1_1_1_1_3">NA()</definedName>
    <definedName name="Excel_BuiltIn_Print_Area_1_1_1_2">NA()</definedName>
    <definedName name="Excel_BuiltIn_Print_Area_1_1_1_2_1">NA()</definedName>
    <definedName name="Excel_BuiltIn_Print_Area_1_1_1_3">NA()</definedName>
    <definedName name="Excel_BuiltIn_Print_Area_1_1_2">NA()</definedName>
    <definedName name="Excel_BuiltIn_Print_Area_1_1_3">NA()</definedName>
    <definedName name="Excel_BuiltIn_Print_Area_10_1">NA()</definedName>
    <definedName name="Excel_BuiltIn_Print_Area_10_1_1">NA()</definedName>
    <definedName name="Excel_BuiltIn_Print_Area_10_1_1_1">NA()</definedName>
    <definedName name="Excel_BuiltIn_Print_Area_10_1_1_1_1">NA()</definedName>
    <definedName name="Excel_BuiltIn_Print_Area_10_1_1_1_1_1">NA()</definedName>
    <definedName name="Excel_BuiltIn_Print_Area_10_1_1_1_1_1_1">"$#REF!.$A$1:$F$10"</definedName>
    <definedName name="Excel_BuiltIn_Print_Area_11_1">NA()</definedName>
    <definedName name="Excel_BuiltIn_Print_Area_11_1_1">NA()</definedName>
    <definedName name="Excel_BuiltIn_Print_Area_11_1_1_1">NA()</definedName>
    <definedName name="Excel_BuiltIn_Print_Area_12_1">NA()</definedName>
    <definedName name="Excel_BuiltIn_Print_Area_2" localSheetId="7">#REF!</definedName>
    <definedName name="Excel_BuiltIn_Print_Area_2" localSheetId="6">#REF!</definedName>
    <definedName name="Excel_BuiltIn_Print_Area_2">#REF!</definedName>
    <definedName name="Excel_BuiltIn_Print_Area_2_1">NA()</definedName>
    <definedName name="Excel_BuiltIn_Print_Area_2_1_1">NA()</definedName>
    <definedName name="Excel_BuiltIn_Print_Area_2_1_1_1">NA()</definedName>
    <definedName name="Excel_BuiltIn_Print_Area_2_1_1_1_1">NA()</definedName>
    <definedName name="Excel_BuiltIn_Print_Area_2_1_1_1_1_1">NA()</definedName>
    <definedName name="Excel_BuiltIn_Print_Area_2_1_1_1_1_1_1">NA()</definedName>
    <definedName name="Excel_BuiltIn_Print_Area_2_1_1_1_1_1_1_1">NA()</definedName>
    <definedName name="Excel_BuiltIn_Print_Area_2_1_1_1_1_1_1_1_1">NA()</definedName>
    <definedName name="Excel_BuiltIn_Print_Area_2_1_1_1_1_1_1_1_1_1">"$#REF!.$A$1:$F$10"</definedName>
    <definedName name="Excel_BuiltIn_Print_Area_2_1_1_2">NA()</definedName>
    <definedName name="Excel_BuiltIn_Print_Area_2_1_1_3">NA()</definedName>
    <definedName name="Excel_BuiltIn_Print_Area_2_1_2">NA()</definedName>
    <definedName name="Excel_BuiltIn_Print_Area_2_1_3">NA()</definedName>
    <definedName name="Excel_BuiltIn_Print_Area_3" localSheetId="7">#REF!</definedName>
    <definedName name="Excel_BuiltIn_Print_Area_3" localSheetId="6">#REF!</definedName>
    <definedName name="Excel_BuiltIn_Print_Area_3">#REF!</definedName>
    <definedName name="Excel_BuiltIn_Print_Area_3_1">NA()</definedName>
    <definedName name="Excel_BuiltIn_Print_Area_3_1_1">NA()</definedName>
    <definedName name="Excel_BuiltIn_Print_Area_3_1_1_1">NA()</definedName>
    <definedName name="Excel_BuiltIn_Print_Area_3_1_1_1_1">NA()</definedName>
    <definedName name="Excel_BuiltIn_Print_Area_3_1_1_1_1_1">NA()</definedName>
    <definedName name="Excel_BuiltIn_Print_Area_3_1_1_1_1_1_1">NA()</definedName>
    <definedName name="Excel_BuiltIn_Print_Area_3_1_1_1_1_1_1_1">NA()</definedName>
    <definedName name="Excel_BuiltIn_Print_Area_3_1_1_1_1_1_1_1_1">NA()</definedName>
    <definedName name="Excel_BuiltIn_Print_Area_3_1_1_1_1_1_1_1_1_1">NA()</definedName>
    <definedName name="Excel_BuiltIn_Print_Area_3_1_1_1_1_1_1_1_1_1_1">NA()</definedName>
    <definedName name="Excel_BuiltIn_Print_Area_3_1_1_1_1_1_1_1_1_1_1_1">"$#REF!.$A$1:$F$10"</definedName>
    <definedName name="Excel_BuiltIn_Print_Area_3_1_1_1_2">NA()</definedName>
    <definedName name="Excel_BuiltIn_Print_Area_3_1_1_1_3">NA()</definedName>
    <definedName name="Excel_BuiltIn_Print_Area_3_1_1_2">NA()</definedName>
    <definedName name="Excel_BuiltIn_Print_Area_3_1_1_3">NA()</definedName>
    <definedName name="Excel_BuiltIn_Print_Area_3_1_2">NA()</definedName>
    <definedName name="Excel_BuiltIn_Print_Area_3_1_3">NA()</definedName>
    <definedName name="Excel_BuiltIn_Print_Area_4" localSheetId="7">#REF!</definedName>
    <definedName name="Excel_BuiltIn_Print_Area_4" localSheetId="6">#REF!</definedName>
    <definedName name="Excel_BuiltIn_Print_Area_4">#REF!</definedName>
    <definedName name="Excel_BuiltIn_Print_Area_4_1">NA()</definedName>
    <definedName name="Excel_BuiltIn_Print_Area_4_1_1">NA()</definedName>
    <definedName name="Excel_BuiltIn_Print_Area_4_1_1_1">NA()</definedName>
    <definedName name="Excel_BuiltIn_Print_Area_4_1_1_1_1">NA()</definedName>
    <definedName name="Excel_BuiltIn_Print_Area_4_1_1_1_1_1">NA()</definedName>
    <definedName name="Excel_BuiltIn_Print_Area_4_1_1_1_1_1_1">NA()</definedName>
    <definedName name="Excel_BuiltIn_Print_Area_4_1_1_1_1_1_1_1">NA()</definedName>
    <definedName name="Excel_BuiltIn_Print_Area_4_1_1_1_1_1_1_1_1">NA()</definedName>
    <definedName name="Excel_BuiltIn_Print_Area_4_1_1_1_1_1_1_1_1_1">NA()</definedName>
    <definedName name="Excel_BuiltIn_Print_Area_4_1_1_1_1_1_1_1_1_1_1">NA()</definedName>
    <definedName name="Excel_BuiltIn_Print_Area_4_1_1_1_1_1_1_1_1_1_1_1">NA()</definedName>
    <definedName name="Excel_BuiltIn_Print_Area_4_1_1_1_1_1_1_1_1_1_1_1_1">NA()</definedName>
    <definedName name="Excel_BuiltIn_Print_Area_4_1_1_1_1_1_1_1_1_1_1_1_1_1">NA()</definedName>
    <definedName name="Excel_BuiltIn_Print_Area_4_1_1_1_1_1_1_1_1_1_1_1_1_1_1">NA()</definedName>
    <definedName name="Excel_BuiltIn_Print_Area_4_1_1_1_1_1_1_1_1_1_1_1_1_1_1_1">NA()</definedName>
    <definedName name="Excel_BuiltIn_Print_Area_4_1_1_1_1_1_1_1_1_1_1_1_1_1_1_1_1">"$#REF!.$A$1:$F$10"</definedName>
    <definedName name="Excel_BuiltIn_Print_Area_4_1_1_2">NA()</definedName>
    <definedName name="Excel_BuiltIn_Print_Area_4_1_1_3">NA()</definedName>
    <definedName name="Excel_BuiltIn_Print_Area_4_1_2">NA()</definedName>
    <definedName name="Excel_BuiltIn_Print_Area_4_1_3">NA()</definedName>
    <definedName name="Excel_BuiltIn_Print_Area_4_2">NA()</definedName>
    <definedName name="Excel_BuiltIn_Print_Area_5" localSheetId="7">#REF!</definedName>
    <definedName name="Excel_BuiltIn_Print_Area_5" localSheetId="6">#REF!</definedName>
    <definedName name="Excel_BuiltIn_Print_Area_5">#REF!</definedName>
    <definedName name="Excel_BuiltIn_Print_Area_5_1">NA()</definedName>
    <definedName name="Excel_BuiltIn_Print_Area_5_1_1">NA()</definedName>
    <definedName name="Excel_BuiltIn_Print_Area_5_1_1_1">NA()</definedName>
    <definedName name="Excel_BuiltIn_Print_Area_5_1_1_1_1">NA()</definedName>
    <definedName name="Excel_BuiltIn_Print_Area_5_1_1_1_1_1">NA()</definedName>
    <definedName name="Excel_BuiltIn_Print_Area_5_1_1_1_1_1_1">NA()</definedName>
    <definedName name="Excel_BuiltIn_Print_Area_5_1_1_1_1_1_1_1">NA()</definedName>
    <definedName name="Excel_BuiltIn_Print_Area_5_1_1_1_1_1_1_1_1">NA()</definedName>
    <definedName name="Excel_BuiltIn_Print_Area_5_1_1_1_1_1_1_1_1_1">"$#REF!.$A$1:$F$13"</definedName>
    <definedName name="Excel_BuiltIn_Print_Area_5_1_1_1_1_1_1_1_1_1_1">NA()</definedName>
    <definedName name="Excel_BuiltIn_Print_Area_5_1_1_1_1_1_1_1_1_1_1_1">NA()</definedName>
    <definedName name="Excel_BuiltIn_Print_Area_5_1_1_1_1_2">NA()</definedName>
    <definedName name="Excel_BuiltIn_Print_Area_5_1_1_1_2">NA()</definedName>
    <definedName name="Excel_BuiltIn_Print_Area_5_1_1_1_3">NA()</definedName>
    <definedName name="Excel_BuiltIn_Print_Area_5_1_1_2">NA()</definedName>
    <definedName name="Excel_BuiltIn_Print_Area_6" localSheetId="7">#REF!</definedName>
    <definedName name="Excel_BuiltIn_Print_Area_6" localSheetId="6">#REF!</definedName>
    <definedName name="Excel_BuiltIn_Print_Area_6">#REF!</definedName>
    <definedName name="Excel_BuiltIn_Print_Area_6_1">NA()</definedName>
    <definedName name="Excel_BuiltIn_Print_Area_6_1_1">NA()</definedName>
    <definedName name="Excel_BuiltIn_Print_Area_6_1_1_1">NA()</definedName>
    <definedName name="Excel_BuiltIn_Print_Area_6_1_1_1_1">NA()</definedName>
    <definedName name="Excel_BuiltIn_Print_Area_6_1_1_1_1_1">NA()</definedName>
    <definedName name="Excel_BuiltIn_Print_Area_6_1_1_1_1_1_1">NA()</definedName>
    <definedName name="Excel_BuiltIn_Print_Area_6_1_1_1_1_1_1_1">NA()</definedName>
    <definedName name="Excel_BuiltIn_Print_Area_6_1_1_1_1_1_1_1_1">NA()</definedName>
    <definedName name="Excel_BuiltIn_Print_Area_6_1_1_1_1_1_1_1_1_1">NA()</definedName>
    <definedName name="Excel_BuiltIn_Print_Area_6_1_1_1_1_1_1_1_1_1_1">NA()</definedName>
    <definedName name="Excel_BuiltIn_Print_Area_6_1_1_1_1_1_1_1_1_1_1_1">NA()</definedName>
    <definedName name="Excel_BuiltIn_Print_Area_6_1_1_1_1_1_1_1_1_1_1_1_1">NA()</definedName>
    <definedName name="Excel_BuiltIn_Print_Area_6_1_1_1_1_1_1_1_1_1_1_1_1_1">NA()</definedName>
    <definedName name="Excel_BuiltIn_Print_Area_6_1_1_1_1_1_1_1_1_1_1_1_1_1_1">NA()</definedName>
    <definedName name="Excel_BuiltIn_Print_Area_6_1_1_1_1_1_1_1_1_1_1_1_1_1_1_1">NA()</definedName>
    <definedName name="Excel_BuiltIn_Print_Area_6_1_1_1_1_1_1_1_1_1_1_1_1_1_1_1_1">"$#REF!.$A$1:$F$10"</definedName>
    <definedName name="Excel_BuiltIn_Print_Area_6_1_1_1_1_1_1_2">NA()</definedName>
    <definedName name="Excel_BuiltIn_Print_Area_6_1_1_1_1_1_1_3">NA()</definedName>
    <definedName name="Excel_BuiltIn_Print_Area_6_1_1_1_1_1_2">NA()</definedName>
    <definedName name="Excel_BuiltIn_Print_Area_6_1_1_1_1_1_3">NA()</definedName>
    <definedName name="Excel_BuiltIn_Print_Area_6_1_1_1_1_2">NA()</definedName>
    <definedName name="Excel_BuiltIn_Print_Area_6_1_1_1_1_3">NA()</definedName>
    <definedName name="Excel_BuiltIn_Print_Area_6_1_1_1_2">NA()</definedName>
    <definedName name="Excel_BuiltIn_Print_Area_6_1_1_1_3">NA()</definedName>
    <definedName name="Excel_BuiltIn_Print_Area_6_1_1_2">NA()</definedName>
    <definedName name="Excel_BuiltIn_Print_Area_6_1_1_3">NA()</definedName>
    <definedName name="Excel_BuiltIn_Print_Area_6_1_2">NA()</definedName>
    <definedName name="Excel_BuiltIn_Print_Area_6_1_3">NA()</definedName>
    <definedName name="Excel_BuiltIn_Print_Area_7" localSheetId="7">#REF!</definedName>
    <definedName name="Excel_BuiltIn_Print_Area_7" localSheetId="6">#REF!</definedName>
    <definedName name="Excel_BuiltIn_Print_Area_7">#REF!</definedName>
    <definedName name="Excel_BuiltIn_Print_Area_7_1">NA()</definedName>
    <definedName name="Excel_BuiltIn_Print_Area_7_1_1">NA()</definedName>
    <definedName name="Excel_BuiltIn_Print_Area_7_1_1_1">NA()</definedName>
    <definedName name="Excel_BuiltIn_Print_Area_7_1_1_1_1">NA()</definedName>
    <definedName name="Excel_BuiltIn_Print_Area_7_1_1_1_1_1">NA()</definedName>
    <definedName name="Excel_BuiltIn_Print_Area_7_1_1_1_1_1_1">NA()</definedName>
    <definedName name="Excel_BuiltIn_Print_Area_7_1_1_1_1_1_1_1">NA()</definedName>
    <definedName name="Excel_BuiltIn_Print_Area_7_1_1_1_1_1_1_1_1">NA()</definedName>
    <definedName name="Excel_BuiltIn_Print_Area_7_1_1_1_1_1_1_1_1_1">NA()</definedName>
    <definedName name="Excel_BuiltIn_Print_Area_7_1_1_1_1_1_1_1_1_1_1">NA()</definedName>
    <definedName name="Excel_BuiltIn_Print_Area_7_1_1_1_1_1_1_1_1_1_1_1">NA()</definedName>
    <definedName name="Excel_BuiltIn_Print_Area_7_1_1_2">NA()</definedName>
    <definedName name="Excel_BuiltIn_Print_Area_7_1_1_3">NA()</definedName>
    <definedName name="Excel_BuiltIn_Print_Area_7_1_2">NA()</definedName>
    <definedName name="Excel_BuiltIn_Print_Area_7_1_3">NA()</definedName>
    <definedName name="Excel_BuiltIn_Print_Area_7_2">NA()</definedName>
    <definedName name="Excel_BuiltIn_Print_Area_8">NA()</definedName>
    <definedName name="Excel_BuiltIn_Print_Area_8_1">NA()</definedName>
    <definedName name="Excel_BuiltIn_Print_Area_8_1_1">NA()</definedName>
    <definedName name="Excel_BuiltIn_Print_Area_8_1_1_1">NA()</definedName>
    <definedName name="Excel_BuiltIn_Print_Area_8_1_1_1_1">NA()</definedName>
    <definedName name="Excel_BuiltIn_Print_Area_8_1_1_1_1_1">"$#REF!.$A$1:$F$10"</definedName>
    <definedName name="Excel_BuiltIn_Print_Area_8_1_1_1_1_1_1">"$#REF!.$A$1:$F$10"</definedName>
    <definedName name="Excel_BuiltIn_Print_Area_8_1_2">NA()</definedName>
    <definedName name="Excel_BuiltIn_Print_Area_8_1_3">NA()</definedName>
    <definedName name="Excel_BuiltIn_Print_Area_9_1">NA()</definedName>
    <definedName name="Excel_BuiltIn_Print_Area_9_1_1">NA()</definedName>
    <definedName name="Excel_BuiltIn_Print_Area_9_1_1_1">NA()</definedName>
    <definedName name="Excel_BuiltIn_Print_Area_9_1_1_1_1">NA()</definedName>
    <definedName name="Excel_BuiltIn_Print_Area_9_1_1_1_1_1">NA()</definedName>
    <definedName name="Excel_BuiltIn_Print_Area_9_1_1_1_1_1_1">NA()</definedName>
    <definedName name="Excel_BuiltIn_Print_Titles_1">NA()</definedName>
    <definedName name="Excel_BuiltIn_Print_Titles_1_1">NA()</definedName>
    <definedName name="Excel_BuiltIn_Print_Titles_1_1_1">NA()</definedName>
    <definedName name="Excel_BuiltIn_Print_Titles_1_1_1_1">NA()</definedName>
    <definedName name="Excel_BuiltIn_Print_Titles_1_1_1_1_1">NA()</definedName>
    <definedName name="Excel_BuiltIn_Print_Titles_1_1_1_1_1_1">NA()</definedName>
    <definedName name="Excel_BuiltIn_Print_Titles_1_1_1_1_1_1_1">"$#REF!.$A$1:$IU$10"</definedName>
    <definedName name="Excel_BuiltIn_Print_Titles_1_1_1_1_1_1_1_1">"$#REF!.$A$3:$AMJ$15"</definedName>
    <definedName name="Excel_BuiltIn_Print_Titles_10">NA()</definedName>
    <definedName name="Excel_BuiltIn_Print_Titles_10_1">NA()</definedName>
    <definedName name="Excel_BuiltIn_Print_Titles_10_1_1">"$#REF!.$A$1:$IU$10"</definedName>
    <definedName name="Excel_BuiltIn_Print_Titles_11">NA()</definedName>
    <definedName name="Excel_BuiltIn_Print_Titles_2" localSheetId="6">(#REF!,#REF!)</definedName>
    <definedName name="Excel_BuiltIn_Print_Titles_2">(#REF!,#REF!)</definedName>
    <definedName name="Excel_BuiltIn_Print_Titles_2_1">"$#REF!.$A$1:$IU$10"</definedName>
    <definedName name="Excel_BuiltIn_Print_Titles_3_1">"$#REF!.$A$1:$IU$10"</definedName>
    <definedName name="Excel_BuiltIn_Print_Titles_4" localSheetId="7">#REF!</definedName>
    <definedName name="Excel_BuiltIn_Print_Titles_4" localSheetId="6">#REF!</definedName>
    <definedName name="Excel_BuiltIn_Print_Titles_4">#REF!</definedName>
    <definedName name="Excel_BuiltIn_Print_Titles_4_1">NA()</definedName>
    <definedName name="Excel_BuiltIn_Print_Titles_4_1_1">NA()</definedName>
    <definedName name="Excel_BuiltIn_Print_Titles_4_1_1_1">NA()</definedName>
    <definedName name="Excel_BuiltIn_Print_Titles_4_1_1_1_1">"$#REF!.$A$1:$IU$10"</definedName>
    <definedName name="Excel_BuiltIn_Print_Titles_4_1_2">NA()</definedName>
    <definedName name="Excel_BuiltIn_Print_Titles_4_1_3">NA()</definedName>
    <definedName name="Excel_BuiltIn_Print_Titles_4_2">NA()</definedName>
    <definedName name="Excel_BuiltIn_Print_Titles_5">"$#REF!.$A$1:$AMJ$17"</definedName>
    <definedName name="Excel_BuiltIn_Print_Titles_5_1">NA()</definedName>
    <definedName name="Excel_BuiltIn_Print_Titles_6">"$#REF!.$A$1:$AMJ$10"</definedName>
    <definedName name="Excel_BuiltIn_Print_Titles_6_1">NA()</definedName>
    <definedName name="Excel_BuiltIn_Print_Titles_6_1_1">NA()</definedName>
    <definedName name="Excel_BuiltIn_Print_Titles_6_1_1_1">"$#REF!.$A$1:$IU$10"</definedName>
    <definedName name="Excel_BuiltIn_Print_Titles_6_1_1_1_1">NA()</definedName>
    <definedName name="Excel_BuiltIn_Print_Titles_6_1_1_1_1_1">NA()</definedName>
    <definedName name="Excel_BuiltIn_Print_Titles_6_1_1_2">NA()</definedName>
    <definedName name="Excel_BuiltIn_Print_Titles_6_1_2">NA()</definedName>
    <definedName name="Excel_BuiltIn_Print_Titles_6_1_3">NA()</definedName>
    <definedName name="Excel_BuiltIn_Print_Titles_7" localSheetId="7">#REF!</definedName>
    <definedName name="Excel_BuiltIn_Print_Titles_7" localSheetId="6">#REF!</definedName>
    <definedName name="Excel_BuiltIn_Print_Titles_7">#REF!</definedName>
    <definedName name="Excel_BuiltIn_Print_Titles_7_1">NA()</definedName>
    <definedName name="Excel_BuiltIn_Print_Titles_7_1_1">NA()</definedName>
    <definedName name="Excel_BuiltIn_Print_Titles_7_1_1_1">NA()</definedName>
    <definedName name="Excel_BuiltIn_Print_Titles_7_1_1_1_1">NA()</definedName>
    <definedName name="Excel_BuiltIn_Print_Titles_7_1_1_1_1_1">"$#REF!.$A$1:$IU$10"</definedName>
    <definedName name="Excel_BuiltIn_Print_Titles_7_1_2">NA()</definedName>
    <definedName name="Excel_BuiltIn_Print_Titles_7_1_3">NA()</definedName>
    <definedName name="Excel_BuiltIn_Print_Titles_7_2">NA()</definedName>
    <definedName name="Excel_BuiltIn_Print_Titles_8_1">NA()</definedName>
    <definedName name="Excel_BuiltIn_Print_Titles_8_1_1">"$#REF!.$A$1:$IU$10"</definedName>
    <definedName name="fd" localSheetId="6">#REF!</definedName>
    <definedName name="fd">#REF!</definedName>
    <definedName name="fdsf" localSheetId="7">[3]LEGENDA!#REF!</definedName>
    <definedName name="fdsf" localSheetId="6">[3]LEGENDA!#REF!</definedName>
    <definedName name="fdsf">[3]LEGENDA!#REF!</definedName>
    <definedName name="Filtro">INDIRECT('[4]MACROMEDIDOR MM-02'!$O$13)</definedName>
    <definedName name="FORNECEDORES1" localSheetId="7">#REF!</definedName>
    <definedName name="FORNECEDORES1" localSheetId="6">#REF!</definedName>
    <definedName name="FORNECEDORES1">#REF!</definedName>
    <definedName name="Fundação" localSheetId="7">#REF!</definedName>
    <definedName name="Fundação" localSheetId="6">#REF!</definedName>
    <definedName name="Fundação">#REF!</definedName>
    <definedName name="Fundação_Mat" localSheetId="7">#REF!</definedName>
    <definedName name="Fundação_Mat" localSheetId="6">#REF!</definedName>
    <definedName name="Fundação_Mat">#REF!</definedName>
    <definedName name="Fundação_MO" localSheetId="7">#REF!</definedName>
    <definedName name="Fundação_MO" localSheetId="6">#REF!</definedName>
    <definedName name="Fundação_MO">#REF!</definedName>
    <definedName name="HJHJ" localSheetId="7">OFFSET(#REF!,0,IF(#REF!=#REF!,0,1),IF(#REF!=#REF!,1,6),1)</definedName>
    <definedName name="HJHJ" localSheetId="6">OFFSET(#REF!,0,IF(#REF!=#REF!,0,1),IF(#REF!=#REF!,1,6),1)</definedName>
    <definedName name="HJHJ">OFFSET(#REF!,0,IF(#REF!=#REF!,0,1),IF(#REF!=#REF!,1,6),1)</definedName>
    <definedName name="I" localSheetId="7">#REF!</definedName>
    <definedName name="I" localSheetId="6">#REF!</definedName>
    <definedName name="I">#REF!</definedName>
    <definedName name="ICMS" localSheetId="6">#REF!</definedName>
    <definedName name="ICMS">#REF!</definedName>
    <definedName name="Import.Desoneracao" hidden="1">OFFSET([5]DADOS!$G$18,0,-1)</definedName>
    <definedName name="Inst_Elét" localSheetId="7">#REF!</definedName>
    <definedName name="Inst_Elét" localSheetId="6">#REF!</definedName>
    <definedName name="Inst_Elét">#REF!</definedName>
    <definedName name="Inst_Elét_Mat" localSheetId="7">#REF!</definedName>
    <definedName name="Inst_Elét_Mat" localSheetId="6">#REF!</definedName>
    <definedName name="Inst_Elét_Mat">#REF!</definedName>
    <definedName name="Inst_Elét_MO" localSheetId="7">#REF!</definedName>
    <definedName name="Inst_Elét_MO" localSheetId="6">#REF!</definedName>
    <definedName name="Inst_Elét_MO">#REF!</definedName>
    <definedName name="Inst_Hidr" localSheetId="7">#REF!</definedName>
    <definedName name="Inst_Hidr" localSheetId="6">#REF!</definedName>
    <definedName name="Inst_Hidr">#REF!</definedName>
    <definedName name="Inst_Hidr_Mat" localSheetId="7">#REF!</definedName>
    <definedName name="Inst_Hidr_Mat" localSheetId="6">#REF!</definedName>
    <definedName name="Inst_Hidr_Mat">#REF!</definedName>
    <definedName name="Inst_Hidr_MO" localSheetId="7">#REF!</definedName>
    <definedName name="Inst_Hidr_MO" localSheetId="6">#REF!</definedName>
    <definedName name="Inst_Hidr_MO">#REF!</definedName>
    <definedName name="IRibbonUI" localSheetId="7">#REF!</definedName>
    <definedName name="IRibbonUI" localSheetId="6">#REF!</definedName>
    <definedName name="IRibbonUI">#REF!</definedName>
    <definedName name="ItemInvestimento">OFFSET([6]DADOS!$G$1,0,0,COUNTIF([6]DADOS!XFA$1:XFA$65536,"")-COUNTIF([6]DADOS!D$1:D$65536,""),1)</definedName>
    <definedName name="Já_apresentado__a_licitar" localSheetId="7">#REF!</definedName>
    <definedName name="Já_apresentado__a_licitar" localSheetId="6">#REF!</definedName>
    <definedName name="Já_apresentado__a_licitar">#REF!</definedName>
    <definedName name="LIGAÇÃO" localSheetId="7">OFFSET(#REF!,0,IF(#REF!=#REF!,0,1),IF(#REF!=#REF!,1,6),1)</definedName>
    <definedName name="LIGAÇÃO" localSheetId="6">OFFSET(#REF!,0,IF(#REF!=#REF!,0,1),IF(#REF!=#REF!,1,6),1)</definedName>
    <definedName name="LIGAÇÃO">OFFSET(#REF!,0,IF(#REF!=#REF!,0,1),IF(#REF!=#REF!,1,6),1)</definedName>
    <definedName name="Lista">'[7]Tarifa EE'!$E$2:$J$2</definedName>
    <definedName name="listasit" localSheetId="7">OFFSET(#REF!,0,IF(#REF!=#REF!,0,1),IF(#REF!=#REF!,1,6),1)</definedName>
    <definedName name="listasit" localSheetId="6">OFFSET(#REF!,0,IF(#REF!=#REF!,0,1),IF(#REF!=#REF!,1,6),1)</definedName>
    <definedName name="listasit">OFFSET(#REF!,0,IF(#REF!=#REF!,0,1),IF(#REF!=#REF!,1,6),1)</definedName>
    <definedName name="MATERIAIS_REGf" localSheetId="7">#REF!</definedName>
    <definedName name="MATERIAIS_REGf" localSheetId="6">#REF!</definedName>
    <definedName name="MATERIAIS_REGf">#REF!</definedName>
    <definedName name="MATERIAIS_REGi" localSheetId="7">#REF!</definedName>
    <definedName name="MATERIAIS_REGi" localSheetId="6">#REF!</definedName>
    <definedName name="MATERIAIS_REGi">#REF!</definedName>
    <definedName name="MATERIAISf" localSheetId="7">#REF!</definedName>
    <definedName name="MATERIAISf" localSheetId="6">#REF!</definedName>
    <definedName name="MATERIAISf">#REF!</definedName>
    <definedName name="MATERIAISi" localSheetId="7">#REF!</definedName>
    <definedName name="MATERIAISi" localSheetId="6">#REF!</definedName>
    <definedName name="MATERIAISi">#REF!</definedName>
    <definedName name="MNDf" localSheetId="7">#REF!</definedName>
    <definedName name="MNDf" localSheetId="6">#REF!</definedName>
    <definedName name="MNDf">#REF!</definedName>
    <definedName name="MNDi" localSheetId="7">#REF!</definedName>
    <definedName name="MNDi" localSheetId="6">#REF!</definedName>
    <definedName name="MNDi">#REF!</definedName>
    <definedName name="MNDRf" localSheetId="7">#REF!</definedName>
    <definedName name="MNDRf" localSheetId="6">#REF!</definedName>
    <definedName name="MNDRf">#REF!</definedName>
    <definedName name="MNDRi" localSheetId="7">#REF!</definedName>
    <definedName name="MNDRi" localSheetId="6">#REF!</definedName>
    <definedName name="MNDRi">#REF!</definedName>
    <definedName name="msdi" localSheetId="6">#REF!</definedName>
    <definedName name="msdi">#REF!</definedName>
    <definedName name="MURO" localSheetId="7">#REF!</definedName>
    <definedName name="MURO" localSheetId="6">#REF!</definedName>
    <definedName name="MURO">#REF!</definedName>
    <definedName name="O" localSheetId="7">#REF!</definedName>
    <definedName name="O" localSheetId="6">#REF!</definedName>
    <definedName name="O">#REF!</definedName>
    <definedName name="ok">[1]Imai03!$A$2:$D$3535</definedName>
    <definedName name="orçabrigo" localSheetId="7">#REF!</definedName>
    <definedName name="orçabrigo" localSheetId="6">#REF!</definedName>
    <definedName name="orçabrigo">#REF!</definedName>
    <definedName name="ORCAMENTOf" localSheetId="7">[8]CONTATOS!#REF!</definedName>
    <definedName name="ORCAMENTOf" localSheetId="6">[8]CONTATOS!#REF!</definedName>
    <definedName name="ORCAMENTOf">[8]CONTATOS!#REF!</definedName>
    <definedName name="ORCAMENTOi" localSheetId="7">[8]CONTATOS!#REF!</definedName>
    <definedName name="ORCAMENTOi" localSheetId="6">[8]CONTATOS!#REF!</definedName>
    <definedName name="ORCAMENTOi">[8]CONTATOS!#REF!</definedName>
    <definedName name="ORIGEM">[9]Origem!$A$1:$B$1137</definedName>
    <definedName name="P" localSheetId="7">#REF!</definedName>
    <definedName name="P" localSheetId="6">#REF!</definedName>
    <definedName name="P">#REF!</definedName>
    <definedName name="PACOTE2f" localSheetId="7">'[10]01n'!#REF!</definedName>
    <definedName name="PACOTE2f" localSheetId="6">'[10]01n'!#REF!</definedName>
    <definedName name="PACOTE2f">'[10]01n'!#REF!</definedName>
    <definedName name="PACOTE2i" localSheetId="7">'[10]01n'!#REF!</definedName>
    <definedName name="PACOTE2i" localSheetId="6">'[10]01n'!#REF!</definedName>
    <definedName name="PACOTE2i">'[10]01n'!#REF!</definedName>
    <definedName name="PACOTEf" localSheetId="7">'[10]01m'!#REF!</definedName>
    <definedName name="PACOTEf" localSheetId="6">'[10]01m'!#REF!</definedName>
    <definedName name="PACOTEf">'[10]01m'!#REF!</definedName>
    <definedName name="PACOTEi" localSheetId="7">'[10]01m'!#REF!</definedName>
    <definedName name="PACOTEi" localSheetId="6">'[10]01m'!#REF!</definedName>
    <definedName name="PACOTEi">'[10]01m'!#REF!</definedName>
    <definedName name="Pintura" localSheetId="7">#REF!</definedName>
    <definedName name="Pintura" localSheetId="6">#REF!</definedName>
    <definedName name="Pintura">#REF!</definedName>
    <definedName name="Pintura_Mat" localSheetId="7">#REF!</definedName>
    <definedName name="Pintura_Mat" localSheetId="6">#REF!</definedName>
    <definedName name="Pintura_Mat">#REF!</definedName>
    <definedName name="Pintura_MO" localSheetId="7">#REF!</definedName>
    <definedName name="Pintura_MO" localSheetId="6">#REF!</definedName>
    <definedName name="Pintura_MO">#REF!</definedName>
    <definedName name="Piso" localSheetId="7">#REF!</definedName>
    <definedName name="Piso" localSheetId="6">#REF!</definedName>
    <definedName name="Piso">#REF!</definedName>
    <definedName name="Piso_Mat" localSheetId="7">#REF!</definedName>
    <definedName name="Piso_Mat" localSheetId="6">#REF!</definedName>
    <definedName name="Piso_Mat">#REF!</definedName>
    <definedName name="Piso_MO" localSheetId="7">#REF!</definedName>
    <definedName name="Piso_MO" localSheetId="6">#REF!</definedName>
    <definedName name="Piso_MO">#REF!</definedName>
    <definedName name="PRECOSf" localSheetId="7">#REF!</definedName>
    <definedName name="PRECOSf" localSheetId="6">#REF!</definedName>
    <definedName name="PRECOSf">#REF!</definedName>
    <definedName name="PRECOSi" localSheetId="7">#REF!</definedName>
    <definedName name="PRECOSi" localSheetId="6">#REF!</definedName>
    <definedName name="PRECOSi">#REF!</definedName>
    <definedName name="Print_Titles" localSheetId="7">#REF!</definedName>
    <definedName name="Print_Titles" localSheetId="6">#REF!</definedName>
    <definedName name="Print_Titles">#REF!</definedName>
    <definedName name="q" localSheetId="7">#REF!</definedName>
    <definedName name="q" localSheetId="6">#REF!</definedName>
    <definedName name="q">#REF!</definedName>
    <definedName name="Referência01.01.001.001" localSheetId="6">#REF!</definedName>
    <definedName name="Referência01.01.001.001">#REF!</definedName>
    <definedName name="Referência01.01.001.002" localSheetId="6">#REF!</definedName>
    <definedName name="Referência01.01.001.002">#REF!</definedName>
    <definedName name="Referência01.01.001.003" localSheetId="6">#REF!</definedName>
    <definedName name="Referência01.01.001.003">#REF!</definedName>
    <definedName name="Referência01.01.001.004" localSheetId="6">#REF!</definedName>
    <definedName name="Referência01.01.001.004">#REF!</definedName>
    <definedName name="Referência01.01.001.005" localSheetId="6">#REF!</definedName>
    <definedName name="Referência01.01.001.005">#REF!</definedName>
    <definedName name="Referência01.01.001.006" localSheetId="6">#REF!</definedName>
    <definedName name="Referência01.01.001.006">#REF!</definedName>
    <definedName name="Referência01.01.001.007" localSheetId="6">#REF!</definedName>
    <definedName name="Referência01.01.001.007">#REF!</definedName>
    <definedName name="Referência01.01.001.008" localSheetId="6">#REF!</definedName>
    <definedName name="Referência01.01.001.008">#REF!</definedName>
    <definedName name="Referência01.01.001.009" localSheetId="6">#REF!</definedName>
    <definedName name="Referência01.01.001.009">#REF!</definedName>
    <definedName name="Referência01.01.001.011" localSheetId="6">#REF!</definedName>
    <definedName name="Referência01.01.001.011">#REF!</definedName>
    <definedName name="Referência01.01.001.012" localSheetId="6">#REF!</definedName>
    <definedName name="Referência01.01.001.012">#REF!</definedName>
    <definedName name="Referência01.01.001.013" localSheetId="6">#REF!</definedName>
    <definedName name="Referência01.01.001.013">#REF!</definedName>
    <definedName name="Referência01.01.004.002" localSheetId="6">#REF!</definedName>
    <definedName name="Referência01.01.004.002">#REF!</definedName>
    <definedName name="Referência01.01.005.001" localSheetId="6">#REF!</definedName>
    <definedName name="Referência01.01.005.001">#REF!</definedName>
    <definedName name="Referência01.01.005.002" localSheetId="6">#REF!</definedName>
    <definedName name="Referência01.01.005.002">#REF!</definedName>
    <definedName name="Referência01.01.005.003" localSheetId="6">#REF!</definedName>
    <definedName name="Referência01.01.005.003">#REF!</definedName>
    <definedName name="Referência01.01.005.004" localSheetId="6">#REF!</definedName>
    <definedName name="Referência01.01.005.004">#REF!</definedName>
    <definedName name="Referência01.01.005.005" localSheetId="6">#REF!</definedName>
    <definedName name="Referência01.01.005.005">#REF!</definedName>
    <definedName name="Referência01.01.005.006" localSheetId="6">#REF!</definedName>
    <definedName name="Referência01.01.005.006">#REF!</definedName>
    <definedName name="Referência01.01.005.007" localSheetId="6">#REF!</definedName>
    <definedName name="Referência01.01.005.007">#REF!</definedName>
    <definedName name="Referência01.01.005.008" localSheetId="6">#REF!</definedName>
    <definedName name="Referência01.01.005.008">#REF!</definedName>
    <definedName name="Referência01.01.005.009" localSheetId="6">#REF!</definedName>
    <definedName name="Referência01.01.005.009">#REF!</definedName>
    <definedName name="Referência01.01.005.010" localSheetId="6">#REF!</definedName>
    <definedName name="Referência01.01.005.010">#REF!</definedName>
    <definedName name="Referência01.01.005.011" localSheetId="6">#REF!</definedName>
    <definedName name="Referência01.01.005.011">#REF!</definedName>
    <definedName name="Referência01.02.001.006">[11]REFERÊNCIAS!$H$12</definedName>
    <definedName name="Referência01.02.001.008">[11]REFERÊNCIAS!$H$14</definedName>
    <definedName name="Referência01.02.001.012">[11]REFERÊNCIAS!$H$18</definedName>
    <definedName name="Referência01.02.001.018">[11]REFERÊNCIAS!$H$23</definedName>
    <definedName name="Referência01.02.001.019">[11]REFERÊNCIAS!$H$24</definedName>
    <definedName name="Referência01.02.001.020">[11]REFERÊNCIAS!$H$25</definedName>
    <definedName name="Referência02.01.002.001">[12]REFERÊNCIAS!$H$7</definedName>
    <definedName name="Referência03.01.002.0017">[12]REFERÊNCIAS!$H$14</definedName>
    <definedName name="Referência03.01.002.002">[12]REFERÊNCIAS!$H$9</definedName>
    <definedName name="Referência03.01.002.003">[12]REFERÊNCIAS!$H$10</definedName>
    <definedName name="Referência03.01.002.005">[12]REFERÊNCIAS!$H$12</definedName>
    <definedName name="Referência03.01.002.010">[12]REFERÊNCIAS!$H$17</definedName>
    <definedName name="Referência03.01.002.012">[12]REFERÊNCIAS!$H$19</definedName>
    <definedName name="Referência03.01.002.015">[12]REFERÊNCIAS!$H$21</definedName>
    <definedName name="Referência03.01.002.016">[12]REFERÊNCIAS!$H$22</definedName>
    <definedName name="Referência03.01.005.001">[12]REFERÊNCIAS!$H$24</definedName>
    <definedName name="Referência03.01.005.012">[12]REFERÊNCIAS!$H$25</definedName>
    <definedName name="Revest" localSheetId="7">#REF!</definedName>
    <definedName name="Revest" localSheetId="6">#REF!</definedName>
    <definedName name="Revest">#REF!</definedName>
    <definedName name="Revest_Mat" localSheetId="7">#REF!</definedName>
    <definedName name="Revest_Mat" localSheetId="6">#REF!</definedName>
    <definedName name="Revest_Mat">#REF!</definedName>
    <definedName name="Revest_MO" localSheetId="7">#REF!</definedName>
    <definedName name="Revest_MO" localSheetId="6">#REF!</definedName>
    <definedName name="Revest_MO">#REF!</definedName>
    <definedName name="s" localSheetId="7">#REF!</definedName>
    <definedName name="s" localSheetId="6">#REF!</definedName>
    <definedName name="s">#REF!</definedName>
    <definedName name="sanasa" localSheetId="7">#REF!</definedName>
    <definedName name="sanasa" localSheetId="6">#REF!</definedName>
    <definedName name="sanasa">#REF!</definedName>
    <definedName name="Serv_Compl" localSheetId="7">#REF!</definedName>
    <definedName name="Serv_Compl" localSheetId="6">#REF!</definedName>
    <definedName name="Serv_Compl">#REF!</definedName>
    <definedName name="Serv_Compl_Mat" localSheetId="7">#REF!</definedName>
    <definedName name="Serv_Compl_Mat" localSheetId="6">#REF!</definedName>
    <definedName name="Serv_Compl_Mat">#REF!</definedName>
    <definedName name="Serv_Compl_MO" localSheetId="7">#REF!</definedName>
    <definedName name="Serv_Compl_MO" localSheetId="6">#REF!</definedName>
    <definedName name="Serv_Compl_MO">#REF!</definedName>
    <definedName name="Serv_Prelim" localSheetId="7">#REF!</definedName>
    <definedName name="Serv_Prelim" localSheetId="6">#REF!</definedName>
    <definedName name="Serv_Prelim">#REF!</definedName>
    <definedName name="Serv_Prelim_Mat" localSheetId="7">#REF!</definedName>
    <definedName name="Serv_Prelim_Mat" localSheetId="6">#REF!</definedName>
    <definedName name="Serv_Prelim_Mat">#REF!</definedName>
    <definedName name="Serv_Prelim_MO" localSheetId="7">#REF!</definedName>
    <definedName name="Serv_Prelim_MO" localSheetId="6">#REF!</definedName>
    <definedName name="Serv_Prelim_MO">#REF!</definedName>
    <definedName name="SubItemInvestimento" localSheetId="7">OFFSET([6]DADOS!XEY$1,MATCH(#REF!,[6]DADOS!XFB$1:XFB$65536,0)-1,0,COUNTIF([6]DADOS!XEX$1:XEX$65536,#REF!),1)</definedName>
    <definedName name="SubItemInvestimento" localSheetId="6">OFFSET([6]DADOS!XEY$1,MATCH(#REF!,[6]DADOS!XFB$1:XFB$65536,0)-1,0,COUNTIF([6]DADOS!XEX$1:XEX$65536,#REF!),1)</definedName>
    <definedName name="SubItemInvestimento">OFFSET([6]DADOS!XEY$1,MATCH(#REF!,[6]DADOS!XFB$1:XFB$65536,0)-1,0,COUNTIF([6]DADOS!XEX$1:XEX$65536,#REF!),1)</definedName>
    <definedName name="TAB_ATIVIDADES">[13]ATIV!$B$4:$H$499</definedName>
    <definedName name="tamires" localSheetId="7">#REF!</definedName>
    <definedName name="tamires" localSheetId="6">#REF!</definedName>
    <definedName name="tamires">#REF!</definedName>
    <definedName name="TEST" localSheetId="7">#REF!</definedName>
    <definedName name="TEST" localSheetId="6">#REF!</definedName>
    <definedName name="TEST">#REF!</definedName>
    <definedName name="teste" localSheetId="7">#REF!</definedName>
    <definedName name="teste" localSheetId="6">#REF!</definedName>
    <definedName name="teste">#REF!</definedName>
    <definedName name="teste1" localSheetId="7">#REF!</definedName>
    <definedName name="teste1" localSheetId="6">#REF!</definedName>
    <definedName name="teste1">#REF!</definedName>
    <definedName name="teste2" localSheetId="7">#REF!</definedName>
    <definedName name="teste2" localSheetId="6">#REF!</definedName>
    <definedName name="teste2">#REF!</definedName>
    <definedName name="thisWorkbook_IRibbonUI_Ptr" localSheetId="7">#REF!</definedName>
    <definedName name="thisWorkbook_IRibbonUI_Ptr" localSheetId="6">#REF!</definedName>
    <definedName name="thisWorkbook_IRibbonUI_Ptr">#REF!</definedName>
    <definedName name="TI" localSheetId="7">#REF!</definedName>
    <definedName name="TI" localSheetId="6">#REF!</definedName>
    <definedName name="TI">#REF!</definedName>
    <definedName name="_xlnm.Print_Titles" localSheetId="4">'CRON. F. FINANCEIRO'!$1:$5</definedName>
    <definedName name="_xlnm.Print_Titles" localSheetId="7">'MM DE CÁLCULO'!$1:$5</definedName>
    <definedName name="_xlnm.Print_Titles" localSheetId="6">PLANILHA!$1:$6</definedName>
    <definedName name="_xlnm.Print_Titles" localSheetId="2">SINTÉTICA!$1:$6</definedName>
    <definedName name="_xlnm.Print_Titles">#REF!</definedName>
    <definedName name="Total" localSheetId="7">#REF!</definedName>
    <definedName name="Total" localSheetId="6">#REF!</definedName>
    <definedName name="Total">#REF!</definedName>
    <definedName name="uARQUIVO" localSheetId="7">#REF!</definedName>
    <definedName name="uARQUIVO" localSheetId="6">#REF!</definedName>
    <definedName name="uARQUIVO">#REF!</definedName>
    <definedName name="uBIBLIOTECA" localSheetId="7">#REF!</definedName>
    <definedName name="uBIBLIOTECA" localSheetId="6">#REF!</definedName>
    <definedName name="uBIBLIOTECA">#REF!</definedName>
    <definedName name="uCABECALHO">[14]DESENHOS!$D$25</definedName>
    <definedName name="uCIA">[14]DESENHOS!$E$33</definedName>
    <definedName name="uFRENTES">[14]DESENHOS!$E$35</definedName>
    <definedName name="UFSP" localSheetId="6">[15]PLANILHA!#REF!</definedName>
    <definedName name="UFSP">[15]PLANILHA!#REF!</definedName>
    <definedName name="uIMPRIMIR" localSheetId="7">#REF!</definedName>
    <definedName name="uIMPRIMIR" localSheetId="6">#REF!</definedName>
    <definedName name="uIMPRIMIR">#REF!</definedName>
    <definedName name="uOBRA" localSheetId="7">#REF!</definedName>
    <definedName name="uOBRA" localSheetId="6">#REF!</definedName>
    <definedName name="uOBRA">#REF!</definedName>
    <definedName name="uPESCOCO" localSheetId="7">#REF!</definedName>
    <definedName name="uPESCOCO" localSheetId="6">#REF!</definedName>
    <definedName name="uPESCOCO">#REF!</definedName>
    <definedName name="uPLANILHA">[14]DESENHOS!$E$36</definedName>
    <definedName name="uPONTASECA" localSheetId="7">#REF!</definedName>
    <definedName name="uPONTASECA" localSheetId="6">#REF!</definedName>
    <definedName name="uPONTASECA">#REF!</definedName>
    <definedName name="uPROJETO">[14]DESENHOS!$D$22</definedName>
    <definedName name="uPUBLICAR" localSheetId="7">#REF!</definedName>
    <definedName name="uPUBLICAR" localSheetId="6">#REF!</definedName>
    <definedName name="uPUBLICAR">#REF!</definedName>
    <definedName name="uTITULO">[14]DESENHOS!$D$24</definedName>
    <definedName name="uWORDsa" localSheetId="7">#REF!</definedName>
    <definedName name="uWORDsa" localSheetId="6">#REF!</definedName>
    <definedName name="uWORDsa">#REF!</definedName>
    <definedName name="uWORDta" localSheetId="7">#REF!</definedName>
    <definedName name="uWORDta" localSheetId="6">#REF!</definedName>
    <definedName name="uWORDta">#REF!</definedName>
    <definedName name="uWORDtp" localSheetId="7">#REF!</definedName>
    <definedName name="uWORDtp" localSheetId="6">#REF!</definedName>
    <definedName name="uWORDtp">#REF!</definedName>
    <definedName name="VAZOESf" localSheetId="7">#REF!</definedName>
    <definedName name="VAZOESf" localSheetId="6">#REF!</definedName>
    <definedName name="VAZOESf">#REF!</definedName>
    <definedName name="VAZOESi" localSheetId="7">#REF!</definedName>
    <definedName name="VAZOESi" localSheetId="6">#REF!</definedName>
    <definedName name="VAZOESi">#REF!</definedName>
    <definedName name="Vidro" localSheetId="7">#REF!</definedName>
    <definedName name="Vidro" localSheetId="6">#REF!</definedName>
    <definedName name="Vidro">#REF!</definedName>
    <definedName name="Vidro_Mat" localSheetId="7">#REF!</definedName>
    <definedName name="Vidro_Mat" localSheetId="6">#REF!</definedName>
    <definedName name="Vidro_Mat">#REF!</definedName>
    <definedName name="Vidro_MO" localSheetId="7">#REF!</definedName>
    <definedName name="Vidro_MO" localSheetId="6">#REF!</definedName>
    <definedName name="Vidro_MO">#REF!</definedName>
  </definedNames>
  <calcPr calcId="125725"/>
</workbook>
</file>

<file path=xl/calcChain.xml><?xml version="1.0" encoding="utf-8"?>
<calcChain xmlns="http://schemas.openxmlformats.org/spreadsheetml/2006/main">
  <c r="L62" i="23"/>
  <c r="L66"/>
  <c r="I368"/>
  <c r="I369"/>
  <c r="I367"/>
  <c r="Q372" s="1"/>
  <c r="Q343"/>
  <c r="Q344"/>
  <c r="D343"/>
  <c r="E343"/>
  <c r="D344"/>
  <c r="E344"/>
  <c r="F81" i="26"/>
  <c r="G81" s="1"/>
  <c r="F80"/>
  <c r="G80" s="1"/>
  <c r="D362" i="23"/>
  <c r="C362"/>
  <c r="D373"/>
  <c r="E373"/>
  <c r="D374"/>
  <c r="E374"/>
  <c r="E372"/>
  <c r="D372"/>
  <c r="C346"/>
  <c r="D346"/>
  <c r="D358"/>
  <c r="D359"/>
  <c r="D360"/>
  <c r="D357"/>
  <c r="I352"/>
  <c r="Q358" s="1"/>
  <c r="I353"/>
  <c r="Q359" s="1"/>
  <c r="I354"/>
  <c r="Q360" s="1"/>
  <c r="I351"/>
  <c r="Q357" s="1"/>
  <c r="Q341"/>
  <c r="Q342"/>
  <c r="Q340"/>
  <c r="D342"/>
  <c r="D341"/>
  <c r="D340"/>
  <c r="E341"/>
  <c r="E342"/>
  <c r="E340"/>
  <c r="D339"/>
  <c r="Q374"/>
  <c r="Q373"/>
  <c r="F88" i="26"/>
  <c r="F89"/>
  <c r="F90"/>
  <c r="F84"/>
  <c r="F83"/>
  <c r="F86"/>
  <c r="G86" s="1"/>
  <c r="G85"/>
  <c r="F77"/>
  <c r="G77" s="1"/>
  <c r="G88" l="1"/>
  <c r="G89"/>
  <c r="G83"/>
  <c r="F17" l="1"/>
  <c r="Q306" i="23"/>
  <c r="D305"/>
  <c r="F68" i="26"/>
  <c r="G68" s="1"/>
  <c r="A13" i="17" l="1"/>
  <c r="E386" i="23"/>
  <c r="D382"/>
  <c r="D383"/>
  <c r="C383"/>
  <c r="C382"/>
  <c r="I237"/>
  <c r="Q242" s="1"/>
  <c r="I238"/>
  <c r="Q243" s="1"/>
  <c r="I236"/>
  <c r="Q241" s="1"/>
  <c r="I317"/>
  <c r="Q322" s="1"/>
  <c r="I318"/>
  <c r="Q323" s="1"/>
  <c r="I316"/>
  <c r="Q321" s="1"/>
  <c r="I298"/>
  <c r="Q303" s="1"/>
  <c r="I297"/>
  <c r="Q302" s="1"/>
  <c r="I296"/>
  <c r="C378"/>
  <c r="C379"/>
  <c r="C377"/>
  <c r="D381"/>
  <c r="D379"/>
  <c r="D331"/>
  <c r="Q326"/>
  <c r="D325"/>
  <c r="D322"/>
  <c r="D323"/>
  <c r="D321"/>
  <c r="D311"/>
  <c r="D302"/>
  <c r="D303"/>
  <c r="D301"/>
  <c r="F73" i="26"/>
  <c r="D291" i="23"/>
  <c r="D246"/>
  <c r="D245"/>
  <c r="Q247"/>
  <c r="Q187"/>
  <c r="F222" s="1"/>
  <c r="Q216" s="1"/>
  <c r="Q301"/>
  <c r="Q285"/>
  <c r="Q268"/>
  <c r="Q260"/>
  <c r="Q254"/>
  <c r="D242"/>
  <c r="D243"/>
  <c r="D241"/>
  <c r="D231"/>
  <c r="Q225"/>
  <c r="D199"/>
  <c r="Q194"/>
  <c r="D186"/>
  <c r="D185"/>
  <c r="L180"/>
  <c r="L181"/>
  <c r="L182"/>
  <c r="L183"/>
  <c r="L179"/>
  <c r="E180"/>
  <c r="E181"/>
  <c r="E182"/>
  <c r="E183"/>
  <c r="E179"/>
  <c r="D175"/>
  <c r="E165"/>
  <c r="E166"/>
  <c r="E167"/>
  <c r="E168"/>
  <c r="E169"/>
  <c r="E170"/>
  <c r="E171"/>
  <c r="E172"/>
  <c r="E173"/>
  <c r="E164"/>
  <c r="D160"/>
  <c r="D144"/>
  <c r="D143"/>
  <c r="D142"/>
  <c r="D138"/>
  <c r="D139"/>
  <c r="D140"/>
  <c r="D137"/>
  <c r="D127"/>
  <c r="F121"/>
  <c r="F120" s="1"/>
  <c r="Q117" s="1"/>
  <c r="D116"/>
  <c r="F113"/>
  <c r="Q100"/>
  <c r="D99"/>
  <c r="Q94"/>
  <c r="D93"/>
  <c r="L63"/>
  <c r="F90"/>
  <c r="Q87" s="1"/>
  <c r="D83"/>
  <c r="Q78"/>
  <c r="C68"/>
  <c r="C46"/>
  <c r="C45"/>
  <c r="D45"/>
  <c r="Q46"/>
  <c r="Q36"/>
  <c r="D36"/>
  <c r="C36"/>
  <c r="D28"/>
  <c r="D20"/>
  <c r="D19"/>
  <c r="F65"/>
  <c r="F62" s="1"/>
  <c r="D12"/>
  <c r="D11"/>
  <c r="F12" i="26"/>
  <c r="G12" s="1"/>
  <c r="F11"/>
  <c r="G11" s="1"/>
  <c r="D14" i="23"/>
  <c r="F99" i="26"/>
  <c r="F98"/>
  <c r="Q58" i="23" l="1"/>
  <c r="G73" i="26"/>
  <c r="F78"/>
  <c r="F282" i="23"/>
  <c r="Q276" s="1"/>
  <c r="F79" i="26" l="1"/>
  <c r="G79" s="1"/>
  <c r="G78"/>
  <c r="B3" i="17"/>
  <c r="B3" i="22"/>
  <c r="B16" i="17"/>
  <c r="G75" i="26"/>
  <c r="G71"/>
  <c r="G90" l="1"/>
  <c r="G66" l="1"/>
  <c r="G55"/>
  <c r="G63"/>
  <c r="B63"/>
  <c r="G61"/>
  <c r="B61"/>
  <c r="G60"/>
  <c r="B60"/>
  <c r="D259" i="23" s="1"/>
  <c r="G62" i="26"/>
  <c r="G58"/>
  <c r="G52"/>
  <c r="G51"/>
  <c r="G50"/>
  <c r="G49"/>
  <c r="F34"/>
  <c r="G34" s="1"/>
  <c r="G33"/>
  <c r="G25"/>
  <c r="A7"/>
  <c r="G84" l="1"/>
  <c r="B20" i="22"/>
  <c r="G98" i="26" l="1"/>
  <c r="A7" i="17" l="1"/>
  <c r="I134" i="23" l="1"/>
  <c r="Q140" s="1"/>
  <c r="I133"/>
  <c r="Q139" s="1"/>
  <c r="I132"/>
  <c r="Q138" s="1"/>
  <c r="I131"/>
  <c r="Q137" s="1"/>
  <c r="B14" i="22" l="1"/>
  <c r="B12"/>
  <c r="B10"/>
  <c r="Q208" i="23" l="1"/>
  <c r="Q200"/>
  <c r="Q110"/>
  <c r="Q72" l="1"/>
  <c r="Q83" l="1"/>
  <c r="B4" i="22" l="1"/>
  <c r="A4"/>
  <c r="B8" l="1"/>
  <c r="B6"/>
  <c r="G630" i="1" l="1"/>
  <c r="E7" i="16"/>
  <c r="G7" s="1"/>
  <c r="E8"/>
  <c r="F7"/>
  <c r="E6"/>
  <c r="C12"/>
  <c r="C17"/>
  <c r="F8"/>
  <c r="F6"/>
  <c r="F5"/>
  <c r="G5" s="1"/>
  <c r="G337" i="1"/>
  <c r="G7"/>
  <c r="H45" i="15"/>
  <c r="J45" s="1"/>
  <c r="K45" s="1"/>
  <c r="G44"/>
  <c r="H44" s="1"/>
  <c r="J44" s="1"/>
  <c r="K44" s="1"/>
  <c r="F44"/>
  <c r="G43"/>
  <c r="F43"/>
  <c r="H42"/>
  <c r="J42" s="1"/>
  <c r="K42" s="1"/>
  <c r="G42"/>
  <c r="G41"/>
  <c r="H41" s="1"/>
  <c r="J41" s="1"/>
  <c r="K41" s="1"/>
  <c r="E35"/>
  <c r="F35" s="1"/>
  <c r="K34"/>
  <c r="E34"/>
  <c r="F34" s="1"/>
  <c r="E33"/>
  <c r="F33" s="1"/>
  <c r="E32"/>
  <c r="F32" s="1"/>
  <c r="D27"/>
  <c r="D26" s="1"/>
  <c r="E5" s="1"/>
  <c r="E23"/>
  <c r="J32" s="1"/>
  <c r="D23"/>
  <c r="I32" s="1"/>
  <c r="I17"/>
  <c r="J17" s="1"/>
  <c r="I16"/>
  <c r="J16" s="1"/>
  <c r="I15"/>
  <c r="E15"/>
  <c r="I14"/>
  <c r="E14"/>
  <c r="I13"/>
  <c r="E13"/>
  <c r="I12"/>
  <c r="E12"/>
  <c r="I11"/>
  <c r="I10"/>
  <c r="I9"/>
  <c r="J9" s="1"/>
  <c r="I8"/>
  <c r="I7"/>
  <c r="I6"/>
  <c r="I5"/>
  <c r="I4"/>
  <c r="H43" l="1"/>
  <c r="J43" s="1"/>
  <c r="K43" s="1"/>
  <c r="K46" s="1"/>
  <c r="G178" i="1"/>
  <c r="J15" i="15"/>
  <c r="J12"/>
  <c r="J14"/>
  <c r="E4"/>
  <c r="J4"/>
  <c r="J13"/>
  <c r="J5"/>
  <c r="L32"/>
  <c r="G8" i="16"/>
  <c r="G6"/>
  <c r="E11" i="15"/>
  <c r="J11" s="1"/>
  <c r="F36"/>
  <c r="E10"/>
  <c r="J10" s="1"/>
  <c r="G9" i="16" l="1"/>
  <c r="D10" s="1"/>
  <c r="G517" i="1" s="1"/>
  <c r="I27" i="15"/>
  <c r="E7" s="1"/>
  <c r="J7" s="1"/>
  <c r="I26"/>
  <c r="E6" s="1"/>
  <c r="J6" s="1"/>
  <c r="I28"/>
  <c r="E8" s="1"/>
  <c r="J8" s="1"/>
  <c r="J18" l="1"/>
  <c r="G179" i="1" l="1"/>
  <c r="G538"/>
  <c r="G262"/>
  <c r="I1481" i="2"/>
  <c r="I1482"/>
  <c r="I1483"/>
  <c r="I1480"/>
  <c r="I1485"/>
  <c r="I1484"/>
  <c r="R1342"/>
  <c r="R1341"/>
  <c r="R1340"/>
  <c r="G386" i="1"/>
  <c r="D342"/>
  <c r="A342"/>
  <c r="A340"/>
  <c r="B339"/>
  <c r="A339"/>
  <c r="I689" i="2"/>
  <c r="I688"/>
  <c r="R697" s="1"/>
  <c r="I685"/>
  <c r="R694" s="1"/>
  <c r="I686"/>
  <c r="R695" s="1"/>
  <c r="I687"/>
  <c r="R696" s="1"/>
  <c r="I684"/>
  <c r="R693" s="1"/>
  <c r="I541"/>
  <c r="I540"/>
  <c r="G131" i="1"/>
  <c r="U188" i="2"/>
  <c r="U184"/>
  <c r="U185"/>
  <c r="U186"/>
  <c r="U187"/>
  <c r="U183"/>
  <c r="D647" i="1"/>
  <c r="D648"/>
  <c r="D649"/>
  <c r="D646"/>
  <c r="B647"/>
  <c r="B648"/>
  <c r="B649"/>
  <c r="B646"/>
  <c r="A647"/>
  <c r="A648"/>
  <c r="A649"/>
  <c r="A646"/>
  <c r="B645"/>
  <c r="A645"/>
  <c r="R1564" i="2"/>
  <c r="C649" i="1" s="1"/>
  <c r="R1563" i="2"/>
  <c r="C648" i="1" s="1"/>
  <c r="R1562" i="2"/>
  <c r="C647" i="1" s="1"/>
  <c r="R1561" i="2"/>
  <c r="C646" i="1" s="1"/>
  <c r="U272" i="2" l="1"/>
  <c r="D643" i="1"/>
  <c r="D644"/>
  <c r="D642"/>
  <c r="B643"/>
  <c r="B644"/>
  <c r="B642"/>
  <c r="A643"/>
  <c r="A644"/>
  <c r="A642"/>
  <c r="B641"/>
  <c r="A641"/>
  <c r="R1551" i="2"/>
  <c r="C643" i="1" s="1"/>
  <c r="R1552" i="2"/>
  <c r="C644" i="1" s="1"/>
  <c r="R1550" i="2"/>
  <c r="C642" i="1" s="1"/>
  <c r="R1541" i="2"/>
  <c r="C630" i="1" s="1"/>
  <c r="R1540" i="2"/>
  <c r="C629" i="1" s="1"/>
  <c r="R1539" i="2"/>
  <c r="C628" i="1" s="1"/>
  <c r="D629"/>
  <c r="D630"/>
  <c r="D628"/>
  <c r="B629"/>
  <c r="B630"/>
  <c r="B628"/>
  <c r="A629"/>
  <c r="A630"/>
  <c r="A628"/>
  <c r="B627"/>
  <c r="A627"/>
  <c r="R1534" i="2"/>
  <c r="C624" i="1" s="1"/>
  <c r="D624"/>
  <c r="B624"/>
  <c r="A624"/>
  <c r="D623"/>
  <c r="B623"/>
  <c r="A623"/>
  <c r="D622"/>
  <c r="B622"/>
  <c r="A622"/>
  <c r="R1530" i="2"/>
  <c r="C623" i="1" s="1"/>
  <c r="R1526" i="2"/>
  <c r="C622" i="1" s="1"/>
  <c r="D621"/>
  <c r="B621"/>
  <c r="A621"/>
  <c r="B620"/>
  <c r="A620"/>
  <c r="R1522" i="2"/>
  <c r="C621" i="1" s="1"/>
  <c r="D616"/>
  <c r="D617"/>
  <c r="D615"/>
  <c r="B616"/>
  <c r="B617"/>
  <c r="B615"/>
  <c r="A616"/>
  <c r="A617"/>
  <c r="A615"/>
  <c r="B614"/>
  <c r="A614"/>
  <c r="D610"/>
  <c r="D611"/>
  <c r="D612"/>
  <c r="D613"/>
  <c r="D609"/>
  <c r="B610"/>
  <c r="B611"/>
  <c r="B612"/>
  <c r="B613"/>
  <c r="B609"/>
  <c r="A610"/>
  <c r="A611"/>
  <c r="A612"/>
  <c r="A613"/>
  <c r="A609"/>
  <c r="B608"/>
  <c r="A608"/>
  <c r="R1516" i="2"/>
  <c r="R1515"/>
  <c r="R1514"/>
  <c r="R1511"/>
  <c r="R1510"/>
  <c r="R1509"/>
  <c r="R1508"/>
  <c r="R1507"/>
  <c r="D598" i="1"/>
  <c r="B598"/>
  <c r="A598"/>
  <c r="B597"/>
  <c r="A597"/>
  <c r="D592"/>
  <c r="D593"/>
  <c r="D594"/>
  <c r="D595"/>
  <c r="D596"/>
  <c r="D591"/>
  <c r="B592"/>
  <c r="B593"/>
  <c r="B594"/>
  <c r="B595"/>
  <c r="B596"/>
  <c r="B591"/>
  <c r="A592"/>
  <c r="A593"/>
  <c r="A594"/>
  <c r="A595"/>
  <c r="A596"/>
  <c r="A591"/>
  <c r="B590"/>
  <c r="A590"/>
  <c r="G589"/>
  <c r="D589"/>
  <c r="C589"/>
  <c r="B589"/>
  <c r="A589"/>
  <c r="B588"/>
  <c r="A588"/>
  <c r="G583"/>
  <c r="G584"/>
  <c r="G585"/>
  <c r="G586"/>
  <c r="G587"/>
  <c r="G582"/>
  <c r="D583"/>
  <c r="D584"/>
  <c r="D585"/>
  <c r="D586"/>
  <c r="D587"/>
  <c r="D582"/>
  <c r="B583"/>
  <c r="B584"/>
  <c r="B585"/>
  <c r="B586"/>
  <c r="B587"/>
  <c r="B582"/>
  <c r="A583"/>
  <c r="A584"/>
  <c r="A585"/>
  <c r="A586"/>
  <c r="A587"/>
  <c r="A582"/>
  <c r="B581"/>
  <c r="A581"/>
  <c r="R1467" i="2"/>
  <c r="R1468" s="1"/>
  <c r="C587" i="1" s="1"/>
  <c r="R1466" i="2"/>
  <c r="C585" i="1" s="1"/>
  <c r="R1465" i="2"/>
  <c r="C584" i="1" s="1"/>
  <c r="R1464" i="2"/>
  <c r="C583" i="1" s="1"/>
  <c r="R1463" i="2"/>
  <c r="C582" i="1" s="1"/>
  <c r="D573"/>
  <c r="B573"/>
  <c r="A573"/>
  <c r="D572"/>
  <c r="B572"/>
  <c r="A572"/>
  <c r="D571"/>
  <c r="B571"/>
  <c r="A571"/>
  <c r="D570"/>
  <c r="B570"/>
  <c r="A570"/>
  <c r="D569"/>
  <c r="B569"/>
  <c r="A569"/>
  <c r="D568"/>
  <c r="B568"/>
  <c r="A568"/>
  <c r="D567"/>
  <c r="B567"/>
  <c r="A567"/>
  <c r="D566"/>
  <c r="B566"/>
  <c r="A566"/>
  <c r="D565"/>
  <c r="B565"/>
  <c r="A565"/>
  <c r="B564"/>
  <c r="A564"/>
  <c r="B560"/>
  <c r="A560"/>
  <c r="D563"/>
  <c r="D562"/>
  <c r="B563"/>
  <c r="A563"/>
  <c r="B562"/>
  <c r="A562"/>
  <c r="B561"/>
  <c r="A561"/>
  <c r="D556"/>
  <c r="D557"/>
  <c r="D555"/>
  <c r="B556"/>
  <c r="B557"/>
  <c r="B555"/>
  <c r="A556"/>
  <c r="A557"/>
  <c r="A555"/>
  <c r="B554"/>
  <c r="A554"/>
  <c r="D550"/>
  <c r="D551"/>
  <c r="D552"/>
  <c r="D553"/>
  <c r="D549"/>
  <c r="B550"/>
  <c r="B551"/>
  <c r="B552"/>
  <c r="B553"/>
  <c r="B549"/>
  <c r="A550"/>
  <c r="A551"/>
  <c r="A552"/>
  <c r="A553"/>
  <c r="A549"/>
  <c r="B548"/>
  <c r="A548"/>
  <c r="R1372" i="2"/>
  <c r="R1371"/>
  <c r="R1370"/>
  <c r="R1367"/>
  <c r="R1366"/>
  <c r="R1365"/>
  <c r="R1364"/>
  <c r="R1363"/>
  <c r="D535" i="1"/>
  <c r="D536"/>
  <c r="D534"/>
  <c r="B535"/>
  <c r="B536"/>
  <c r="B534"/>
  <c r="A535"/>
  <c r="A536"/>
  <c r="A534"/>
  <c r="B533"/>
  <c r="A533"/>
  <c r="D529"/>
  <c r="D530"/>
  <c r="D531"/>
  <c r="D532"/>
  <c r="D528"/>
  <c r="B529"/>
  <c r="B530"/>
  <c r="B531"/>
  <c r="B532"/>
  <c r="B528"/>
  <c r="A529"/>
  <c r="A530"/>
  <c r="A531"/>
  <c r="A532"/>
  <c r="A528"/>
  <c r="B527"/>
  <c r="A527"/>
  <c r="R1357" i="2"/>
  <c r="R1356"/>
  <c r="R1355"/>
  <c r="R1352"/>
  <c r="R1351"/>
  <c r="R1350"/>
  <c r="R1349"/>
  <c r="R1348"/>
  <c r="D514" i="1"/>
  <c r="D515"/>
  <c r="D513"/>
  <c r="B514"/>
  <c r="B515"/>
  <c r="A514"/>
  <c r="A515"/>
  <c r="B513"/>
  <c r="A513"/>
  <c r="B512"/>
  <c r="A512"/>
  <c r="D508"/>
  <c r="D509"/>
  <c r="D510"/>
  <c r="D511"/>
  <c r="D507"/>
  <c r="B508"/>
  <c r="B509"/>
  <c r="B510"/>
  <c r="B511"/>
  <c r="B507"/>
  <c r="A508"/>
  <c r="A509"/>
  <c r="A510"/>
  <c r="A511"/>
  <c r="A507"/>
  <c r="B506"/>
  <c r="A506"/>
  <c r="R1336" i="2"/>
  <c r="R1335"/>
  <c r="R1334"/>
  <c r="R1333"/>
  <c r="R1332"/>
  <c r="D499" i="1"/>
  <c r="B499"/>
  <c r="C529" l="1"/>
  <c r="C555"/>
  <c r="C531"/>
  <c r="C536"/>
  <c r="C552"/>
  <c r="C557"/>
  <c r="C610"/>
  <c r="C615"/>
  <c r="C550"/>
  <c r="C528"/>
  <c r="C532"/>
  <c r="C549"/>
  <c r="C553"/>
  <c r="C611"/>
  <c r="C616"/>
  <c r="C612"/>
  <c r="C617"/>
  <c r="C534"/>
  <c r="C530"/>
  <c r="C535"/>
  <c r="C551"/>
  <c r="C556"/>
  <c r="C609"/>
  <c r="C613"/>
  <c r="C586"/>
  <c r="B498"/>
  <c r="C515"/>
  <c r="C514"/>
  <c r="C513"/>
  <c r="G499"/>
  <c r="G598" s="1"/>
  <c r="A498"/>
  <c r="D495"/>
  <c r="D496"/>
  <c r="D497"/>
  <c r="D494"/>
  <c r="B495"/>
  <c r="B496"/>
  <c r="B497"/>
  <c r="B494"/>
  <c r="A495"/>
  <c r="A496"/>
  <c r="A497"/>
  <c r="A494"/>
  <c r="D489"/>
  <c r="B489"/>
  <c r="A489"/>
  <c r="D488"/>
  <c r="B488"/>
  <c r="A488"/>
  <c r="D487"/>
  <c r="B487"/>
  <c r="A487"/>
  <c r="D486"/>
  <c r="B486"/>
  <c r="A486"/>
  <c r="D485"/>
  <c r="B485"/>
  <c r="A485"/>
  <c r="D484"/>
  <c r="B484"/>
  <c r="A484"/>
  <c r="D483"/>
  <c r="B483"/>
  <c r="A483"/>
  <c r="D482"/>
  <c r="B482"/>
  <c r="A482"/>
  <c r="D481"/>
  <c r="B481"/>
  <c r="A481"/>
  <c r="B480"/>
  <c r="A480"/>
  <c r="D479"/>
  <c r="D478"/>
  <c r="B479" l="1"/>
  <c r="A479"/>
  <c r="B478"/>
  <c r="A478"/>
  <c r="B477"/>
  <c r="A477"/>
  <c r="B476"/>
  <c r="A476"/>
  <c r="G472"/>
  <c r="G473"/>
  <c r="D473"/>
  <c r="D470"/>
  <c r="D471"/>
  <c r="D472"/>
  <c r="D469"/>
  <c r="B470"/>
  <c r="B471"/>
  <c r="B472"/>
  <c r="B473"/>
  <c r="B469"/>
  <c r="A470"/>
  <c r="A471"/>
  <c r="A472"/>
  <c r="A473"/>
  <c r="A469"/>
  <c r="B468"/>
  <c r="A468"/>
  <c r="R1217" i="2"/>
  <c r="C473" i="1" s="1"/>
  <c r="R1215" i="2"/>
  <c r="C472" i="1" s="1"/>
  <c r="R1214" i="2"/>
  <c r="C471" i="1" s="1"/>
  <c r="R1213" i="2"/>
  <c r="C470" i="1" s="1"/>
  <c r="R1212" i="2"/>
  <c r="C469" i="1" s="1"/>
  <c r="G461"/>
  <c r="G462"/>
  <c r="G463"/>
  <c r="G464"/>
  <c r="G465"/>
  <c r="G466"/>
  <c r="G467"/>
  <c r="G460"/>
  <c r="D461"/>
  <c r="D462"/>
  <c r="D463"/>
  <c r="D464"/>
  <c r="D465"/>
  <c r="D466"/>
  <c r="D467"/>
  <c r="D460"/>
  <c r="C465"/>
  <c r="B461"/>
  <c r="B462"/>
  <c r="B463"/>
  <c r="B464"/>
  <c r="B465"/>
  <c r="B466"/>
  <c r="B467"/>
  <c r="B460"/>
  <c r="A460"/>
  <c r="B459"/>
  <c r="A459"/>
  <c r="F1187" i="2"/>
  <c r="G1169" s="1"/>
  <c r="C460" i="1" s="1"/>
  <c r="J1205" i="2"/>
  <c r="L1205" s="1"/>
  <c r="M1205" s="1"/>
  <c r="I1204"/>
  <c r="H1204"/>
  <c r="I1203"/>
  <c r="H1203"/>
  <c r="I1202"/>
  <c r="J1202" s="1"/>
  <c r="L1202" s="1"/>
  <c r="M1202" s="1"/>
  <c r="I1201"/>
  <c r="J1201" s="1"/>
  <c r="L1201" s="1"/>
  <c r="M1201" s="1"/>
  <c r="G1195"/>
  <c r="H1195" s="1"/>
  <c r="M1194"/>
  <c r="G1194"/>
  <c r="H1194" s="1"/>
  <c r="G1193"/>
  <c r="H1193" s="1"/>
  <c r="G1192"/>
  <c r="H1192" s="1"/>
  <c r="G1183"/>
  <c r="L1192" s="1"/>
  <c r="F1183"/>
  <c r="K1192" s="1"/>
  <c r="D456" i="1"/>
  <c r="D457"/>
  <c r="D458"/>
  <c r="D455"/>
  <c r="B456"/>
  <c r="B457"/>
  <c r="B458"/>
  <c r="B455"/>
  <c r="A456"/>
  <c r="A457"/>
  <c r="A458"/>
  <c r="A455"/>
  <c r="B454"/>
  <c r="A454"/>
  <c r="J1158" i="2"/>
  <c r="S1164" s="1"/>
  <c r="C458" i="1" s="1"/>
  <c r="J1157" i="2"/>
  <c r="S1163" s="1"/>
  <c r="C457" i="1" s="1"/>
  <c r="J1156" i="2"/>
  <c r="S1162" s="1"/>
  <c r="C456" i="1" s="1"/>
  <c r="J1155" i="2"/>
  <c r="S1161" s="1"/>
  <c r="C455" i="1" s="1"/>
  <c r="F1186" i="2" l="1"/>
  <c r="G1170" s="1"/>
  <c r="C461" i="1" s="1"/>
  <c r="G1176" i="2"/>
  <c r="C467" i="1" s="1"/>
  <c r="N1192" i="2"/>
  <c r="J1204"/>
  <c r="L1204" s="1"/>
  <c r="M1204" s="1"/>
  <c r="J1203"/>
  <c r="L1203" s="1"/>
  <c r="M1203" s="1"/>
  <c r="H1196"/>
  <c r="G445" i="1"/>
  <c r="D445"/>
  <c r="B445"/>
  <c r="A445"/>
  <c r="R1147" i="2"/>
  <c r="C445" i="1" s="1"/>
  <c r="M1135" i="2"/>
  <c r="D444" i="1"/>
  <c r="A444"/>
  <c r="D443"/>
  <c r="B444"/>
  <c r="B443"/>
  <c r="A443"/>
  <c r="D442"/>
  <c r="B442"/>
  <c r="A442"/>
  <c r="D441"/>
  <c r="B441"/>
  <c r="A441"/>
  <c r="R1123" i="2"/>
  <c r="C441" i="1" s="1"/>
  <c r="B439"/>
  <c r="B440"/>
  <c r="A440"/>
  <c r="J1108" i="2"/>
  <c r="J1107"/>
  <c r="D437" i="1"/>
  <c r="D438"/>
  <c r="D436"/>
  <c r="B437"/>
  <c r="B438"/>
  <c r="B436"/>
  <c r="A437"/>
  <c r="A438"/>
  <c r="A436"/>
  <c r="B435"/>
  <c r="A435"/>
  <c r="D431"/>
  <c r="D432"/>
  <c r="D433"/>
  <c r="D434"/>
  <c r="D430"/>
  <c r="B431"/>
  <c r="B432"/>
  <c r="B433"/>
  <c r="B434"/>
  <c r="B430"/>
  <c r="A431"/>
  <c r="A432"/>
  <c r="A433"/>
  <c r="A434"/>
  <c r="A430"/>
  <c r="B429"/>
  <c r="A429"/>
  <c r="A425"/>
  <c r="A426"/>
  <c r="A427"/>
  <c r="A428"/>
  <c r="A424"/>
  <c r="B423"/>
  <c r="R1097" i="2"/>
  <c r="R1096"/>
  <c r="R1095"/>
  <c r="R1092"/>
  <c r="R1091"/>
  <c r="R1090"/>
  <c r="R1089"/>
  <c r="R1088"/>
  <c r="S1077"/>
  <c r="Q1077"/>
  <c r="R1084" s="1"/>
  <c r="S1084"/>
  <c r="B422" i="1"/>
  <c r="A422"/>
  <c r="B421"/>
  <c r="A421"/>
  <c r="B420"/>
  <c r="A420"/>
  <c r="D412"/>
  <c r="D413"/>
  <c r="D414"/>
  <c r="D411"/>
  <c r="B414"/>
  <c r="B413"/>
  <c r="B412"/>
  <c r="B411"/>
  <c r="A412"/>
  <c r="A413"/>
  <c r="A414"/>
  <c r="A411"/>
  <c r="B410"/>
  <c r="A410"/>
  <c r="B378"/>
  <c r="A378"/>
  <c r="I1028" i="2"/>
  <c r="R1034" s="1"/>
  <c r="I1027"/>
  <c r="R1033" s="1"/>
  <c r="I1026"/>
  <c r="I1025"/>
  <c r="D380" i="1"/>
  <c r="D381"/>
  <c r="D382"/>
  <c r="D383"/>
  <c r="D384"/>
  <c r="D385"/>
  <c r="D386"/>
  <c r="D387"/>
  <c r="D388"/>
  <c r="D389"/>
  <c r="D390"/>
  <c r="D391"/>
  <c r="D379"/>
  <c r="B380"/>
  <c r="B381"/>
  <c r="B382"/>
  <c r="B383"/>
  <c r="B384"/>
  <c r="B385"/>
  <c r="B386"/>
  <c r="B387"/>
  <c r="B388"/>
  <c r="B389"/>
  <c r="B390"/>
  <c r="B391"/>
  <c r="B379"/>
  <c r="A380"/>
  <c r="A381"/>
  <c r="A382"/>
  <c r="A383"/>
  <c r="A384"/>
  <c r="A385"/>
  <c r="A386"/>
  <c r="A387"/>
  <c r="A388"/>
  <c r="A389"/>
  <c r="A390"/>
  <c r="A391"/>
  <c r="A379"/>
  <c r="G130"/>
  <c r="G227" s="1"/>
  <c r="G292" s="1"/>
  <c r="G342" s="1"/>
  <c r="G443" s="1"/>
  <c r="R324" i="2"/>
  <c r="C432" i="1" l="1"/>
  <c r="C437"/>
  <c r="C433"/>
  <c r="C438"/>
  <c r="C430"/>
  <c r="C434"/>
  <c r="C431"/>
  <c r="C436"/>
  <c r="M1206" i="2"/>
  <c r="F1115"/>
  <c r="F1117" s="1"/>
  <c r="G1175"/>
  <c r="C466" i="1" s="1"/>
  <c r="R1137" i="2"/>
  <c r="C443" i="1" s="1"/>
  <c r="R1128" i="2"/>
  <c r="C442" i="1" s="1"/>
  <c r="K1187" i="2"/>
  <c r="G1172" s="1"/>
  <c r="C463" i="1" s="1"/>
  <c r="K1186" i="2"/>
  <c r="G1171" s="1"/>
  <c r="C462" i="1" s="1"/>
  <c r="K1188" i="2"/>
  <c r="G1173" s="1"/>
  <c r="C464" i="1" s="1"/>
  <c r="K1112" i="2"/>
  <c r="I407" i="1"/>
  <c r="J407" s="1"/>
  <c r="I408"/>
  <c r="J408" s="1"/>
  <c r="I409"/>
  <c r="J409" s="1"/>
  <c r="I405"/>
  <c r="J405" s="1"/>
  <c r="I406"/>
  <c r="J406" s="1"/>
  <c r="I404"/>
  <c r="J404" s="1"/>
  <c r="R1142" i="2" l="1"/>
  <c r="C444" i="1" s="1"/>
  <c r="I398"/>
  <c r="J398" s="1"/>
  <c r="I399"/>
  <c r="J399" s="1"/>
  <c r="I400"/>
  <c r="J400" s="1"/>
  <c r="I394"/>
  <c r="J394" s="1"/>
  <c r="I395"/>
  <c r="J395" s="1"/>
  <c r="I396"/>
  <c r="J396" s="1"/>
  <c r="I397"/>
  <c r="J397" s="1"/>
  <c r="R1070" i="2"/>
  <c r="C416" i="1" s="1"/>
  <c r="B281"/>
  <c r="A281"/>
  <c r="I936" i="2"/>
  <c r="I935"/>
  <c r="R1032" l="1"/>
  <c r="R1031"/>
  <c r="D61" i="1"/>
  <c r="B61"/>
  <c r="A61"/>
  <c r="M90" i="2"/>
  <c r="B342" i="1"/>
  <c r="G387"/>
  <c r="I386"/>
  <c r="G385"/>
  <c r="I385" s="1"/>
  <c r="G383"/>
  <c r="I381"/>
  <c r="R951" i="2"/>
  <c r="R1041" s="1"/>
  <c r="C379" i="1" s="1"/>
  <c r="I387" l="1"/>
  <c r="G483"/>
  <c r="G567" s="1"/>
  <c r="I383"/>
  <c r="G442"/>
  <c r="R92" i="2"/>
  <c r="C61" i="1" s="1"/>
  <c r="R1002" i="2"/>
  <c r="R1050" s="1"/>
  <c r="C388" i="1" s="1"/>
  <c r="U991" i="2"/>
  <c r="R991" s="1"/>
  <c r="R986"/>
  <c r="M979"/>
  <c r="R981" s="1"/>
  <c r="R972"/>
  <c r="R967"/>
  <c r="R962"/>
  <c r="R957"/>
  <c r="R1042" s="1"/>
  <c r="C380" i="1" s="1"/>
  <c r="I934" i="2"/>
  <c r="R940" s="1"/>
  <c r="R1061" s="1"/>
  <c r="C412" i="1" s="1"/>
  <c r="R941" i="2"/>
  <c r="R1062" s="1"/>
  <c r="C413" i="1" s="1"/>
  <c r="R942" i="2"/>
  <c r="R1063" s="1"/>
  <c r="C414" i="1" s="1"/>
  <c r="I933" i="2"/>
  <c r="R939" s="1"/>
  <c r="R1060" s="1"/>
  <c r="C411" i="1" s="1"/>
  <c r="U920" i="2"/>
  <c r="R925" s="1"/>
  <c r="R915"/>
  <c r="M908"/>
  <c r="R910" s="1"/>
  <c r="R1046" l="1"/>
  <c r="C384" i="1" s="1"/>
  <c r="R1047" i="2"/>
  <c r="C385" i="1" s="1"/>
  <c r="J385" s="1"/>
  <c r="R1017" i="2"/>
  <c r="R1053" s="1"/>
  <c r="C391" i="1" s="1"/>
  <c r="J391" s="1"/>
  <c r="R1043" i="2"/>
  <c r="C381" i="1" s="1"/>
  <c r="J381" s="1"/>
  <c r="R996" i="2"/>
  <c r="R1049" s="1"/>
  <c r="C387" i="1" s="1"/>
  <c r="R1012" i="2"/>
  <c r="R1052" s="1"/>
  <c r="C390" i="1" s="1"/>
  <c r="R1007" i="2"/>
  <c r="R1051" s="1"/>
  <c r="C389" i="1" s="1"/>
  <c r="R920" i="2"/>
  <c r="R901"/>
  <c r="R896"/>
  <c r="R1044" s="1"/>
  <c r="C382" i="1" s="1"/>
  <c r="R882" i="2"/>
  <c r="C377" i="1" s="1"/>
  <c r="R872" i="2"/>
  <c r="C376" i="1" s="1"/>
  <c r="R862" i="2"/>
  <c r="C375" i="1" s="1"/>
  <c r="C393" s="1"/>
  <c r="F856" i="2"/>
  <c r="D377" i="1"/>
  <c r="B377"/>
  <c r="A377"/>
  <c r="D376"/>
  <c r="B376"/>
  <c r="A376"/>
  <c r="D375"/>
  <c r="B375"/>
  <c r="A375"/>
  <c r="B373"/>
  <c r="B374"/>
  <c r="A374"/>
  <c r="R1045" i="2" l="1"/>
  <c r="C383" i="1" s="1"/>
  <c r="J383" s="1"/>
  <c r="R1048" i="2"/>
  <c r="C386" i="1" s="1"/>
  <c r="J386" s="1"/>
  <c r="J387"/>
  <c r="D372"/>
  <c r="B372"/>
  <c r="A372"/>
  <c r="B369"/>
  <c r="B370"/>
  <c r="B371"/>
  <c r="B368"/>
  <c r="D369"/>
  <c r="D370"/>
  <c r="D371"/>
  <c r="D368"/>
  <c r="A369"/>
  <c r="A370"/>
  <c r="A371"/>
  <c r="A368"/>
  <c r="R836" i="2"/>
  <c r="C368" i="1" s="1"/>
  <c r="R839" i="2"/>
  <c r="C371" i="1" s="1"/>
  <c r="R838" i="2"/>
  <c r="C370" i="1" s="1"/>
  <c r="R837" i="2"/>
  <c r="C369" i="1" s="1"/>
  <c r="R841" i="2"/>
  <c r="C372" i="1" s="1"/>
  <c r="B367"/>
  <c r="A367"/>
  <c r="A361"/>
  <c r="A362"/>
  <c r="A363"/>
  <c r="A364"/>
  <c r="A365"/>
  <c r="A366"/>
  <c r="D30"/>
  <c r="B361"/>
  <c r="B362"/>
  <c r="B363"/>
  <c r="B364"/>
  <c r="B365"/>
  <c r="B366"/>
  <c r="D360"/>
  <c r="D361"/>
  <c r="D362"/>
  <c r="D363"/>
  <c r="D364"/>
  <c r="D365"/>
  <c r="D366"/>
  <c r="C364"/>
  <c r="D359"/>
  <c r="B360"/>
  <c r="A360"/>
  <c r="B359"/>
  <c r="A359"/>
  <c r="B358"/>
  <c r="A358"/>
  <c r="J829" i="2"/>
  <c r="L829" s="1"/>
  <c r="M829" s="1"/>
  <c r="I828"/>
  <c r="H828"/>
  <c r="I827"/>
  <c r="H827"/>
  <c r="I826"/>
  <c r="J826" s="1"/>
  <c r="L826" s="1"/>
  <c r="M826" s="1"/>
  <c r="I825"/>
  <c r="J825" s="1"/>
  <c r="L825" s="1"/>
  <c r="M825" s="1"/>
  <c r="G819"/>
  <c r="H819" s="1"/>
  <c r="M818"/>
  <c r="G818"/>
  <c r="H818" s="1"/>
  <c r="G817"/>
  <c r="H817" s="1"/>
  <c r="G816"/>
  <c r="H816" s="1"/>
  <c r="F811"/>
  <c r="G793" s="1"/>
  <c r="C359" i="1" s="1"/>
  <c r="G807" i="2"/>
  <c r="L816" s="1"/>
  <c r="F807"/>
  <c r="K816" s="1"/>
  <c r="D355" i="1"/>
  <c r="D356"/>
  <c r="D357"/>
  <c r="D354"/>
  <c r="B355"/>
  <c r="B356"/>
  <c r="B357"/>
  <c r="B354"/>
  <c r="A355"/>
  <c r="A356"/>
  <c r="A357"/>
  <c r="A354"/>
  <c r="B353"/>
  <c r="A353"/>
  <c r="I782" i="2"/>
  <c r="R788" s="1"/>
  <c r="C357" i="1" s="1"/>
  <c r="I781" i="2"/>
  <c r="R787" s="1"/>
  <c r="C356" i="1" s="1"/>
  <c r="I780" i="2"/>
  <c r="R786" s="1"/>
  <c r="C355" i="1" s="1"/>
  <c r="I779" i="2"/>
  <c r="R785" s="1"/>
  <c r="C354" i="1" s="1"/>
  <c r="B335"/>
  <c r="D344"/>
  <c r="B344"/>
  <c r="A344"/>
  <c r="R770" i="2"/>
  <c r="C344" i="1" s="1"/>
  <c r="D343"/>
  <c r="B343"/>
  <c r="A343"/>
  <c r="D341"/>
  <c r="B341"/>
  <c r="A341"/>
  <c r="D340"/>
  <c r="B340"/>
  <c r="R746" i="2"/>
  <c r="C340" i="1" s="1"/>
  <c r="J729" i="2"/>
  <c r="J728"/>
  <c r="B332" i="1"/>
  <c r="B333"/>
  <c r="B331"/>
  <c r="A332"/>
  <c r="A333"/>
  <c r="A331"/>
  <c r="B330"/>
  <c r="A330"/>
  <c r="R718" i="2"/>
  <c r="C333" i="1" s="1"/>
  <c r="R717" i="2"/>
  <c r="C332" i="1" s="1"/>
  <c r="R716" i="2"/>
  <c r="C331" i="1" s="1"/>
  <c r="D326"/>
  <c r="D327"/>
  <c r="D328"/>
  <c r="D329"/>
  <c r="D325"/>
  <c r="B326"/>
  <c r="B327"/>
  <c r="B328"/>
  <c r="B329"/>
  <c r="B325"/>
  <c r="A326"/>
  <c r="A327"/>
  <c r="A328"/>
  <c r="A329"/>
  <c r="A325"/>
  <c r="B324"/>
  <c r="A324"/>
  <c r="R713" i="2"/>
  <c r="C329" i="1" s="1"/>
  <c r="R712" i="2"/>
  <c r="C328" i="1" s="1"/>
  <c r="R711" i="2"/>
  <c r="C327" i="1" s="1"/>
  <c r="R710" i="2"/>
  <c r="C326" i="1" s="1"/>
  <c r="R709" i="2"/>
  <c r="C325" i="1" s="1"/>
  <c r="D317"/>
  <c r="B317"/>
  <c r="A317"/>
  <c r="B316"/>
  <c r="A316"/>
  <c r="D311"/>
  <c r="D312"/>
  <c r="D313"/>
  <c r="D314"/>
  <c r="D315"/>
  <c r="D310"/>
  <c r="B311"/>
  <c r="B312"/>
  <c r="B313"/>
  <c r="B314"/>
  <c r="B315"/>
  <c r="B310"/>
  <c r="A311"/>
  <c r="A312"/>
  <c r="A313"/>
  <c r="A314"/>
  <c r="A315"/>
  <c r="A310"/>
  <c r="G314"/>
  <c r="I314" s="1"/>
  <c r="G315"/>
  <c r="I315" s="1"/>
  <c r="B309"/>
  <c r="A309"/>
  <c r="F810" i="2" l="1"/>
  <c r="G794" s="1"/>
  <c r="C360" i="1" s="1"/>
  <c r="N816" i="2"/>
  <c r="J827"/>
  <c r="L827" s="1"/>
  <c r="M827" s="1"/>
  <c r="J828"/>
  <c r="L828" s="1"/>
  <c r="M828" s="1"/>
  <c r="G800"/>
  <c r="C366" i="1" s="1"/>
  <c r="H820" i="2"/>
  <c r="K733"/>
  <c r="R765" s="1"/>
  <c r="C343" i="1" s="1"/>
  <c r="R751" i="2"/>
  <c r="C341" i="1" s="1"/>
  <c r="R760" i="2"/>
  <c r="C342" i="1" s="1"/>
  <c r="F736" i="2"/>
  <c r="F738" s="1"/>
  <c r="D308" i="1"/>
  <c r="C308"/>
  <c r="B307"/>
  <c r="A307"/>
  <c r="D302"/>
  <c r="D303"/>
  <c r="D304"/>
  <c r="D305"/>
  <c r="D306"/>
  <c r="D301"/>
  <c r="B302"/>
  <c r="B303"/>
  <c r="B304"/>
  <c r="B305"/>
  <c r="B306"/>
  <c r="A302"/>
  <c r="A303"/>
  <c r="A304"/>
  <c r="A305"/>
  <c r="A306"/>
  <c r="B301"/>
  <c r="A301"/>
  <c r="B300"/>
  <c r="A300"/>
  <c r="R670" i="2"/>
  <c r="R671" s="1"/>
  <c r="C306" i="1" s="1"/>
  <c r="R669" i="2"/>
  <c r="C304" i="1" s="1"/>
  <c r="R668" i="2"/>
  <c r="C303" i="1" s="1"/>
  <c r="R667" i="2"/>
  <c r="C302" i="1" s="1"/>
  <c r="R666" i="2"/>
  <c r="C301" i="1" s="1"/>
  <c r="D296"/>
  <c r="B296"/>
  <c r="A296"/>
  <c r="D295"/>
  <c r="B295"/>
  <c r="A295"/>
  <c r="D294"/>
  <c r="B294"/>
  <c r="A294"/>
  <c r="D293"/>
  <c r="B293"/>
  <c r="A293"/>
  <c r="D292"/>
  <c r="B292"/>
  <c r="A292"/>
  <c r="D288"/>
  <c r="B288"/>
  <c r="A288"/>
  <c r="B286"/>
  <c r="A286"/>
  <c r="B283"/>
  <c r="D287"/>
  <c r="B287"/>
  <c r="A287"/>
  <c r="R593" i="2"/>
  <c r="C284" i="1" s="1"/>
  <c r="R603" i="2"/>
  <c r="C285" i="1" s="1"/>
  <c r="A285"/>
  <c r="B285"/>
  <c r="D285"/>
  <c r="D284"/>
  <c r="B284"/>
  <c r="A284"/>
  <c r="A283"/>
  <c r="B282"/>
  <c r="D277"/>
  <c r="D278"/>
  <c r="D276"/>
  <c r="B277"/>
  <c r="B278"/>
  <c r="B276"/>
  <c r="A277"/>
  <c r="A278"/>
  <c r="A276"/>
  <c r="R568" i="2"/>
  <c r="R567"/>
  <c r="R566"/>
  <c r="D271" i="1"/>
  <c r="D272"/>
  <c r="D273"/>
  <c r="D274"/>
  <c r="D270"/>
  <c r="B271"/>
  <c r="B272"/>
  <c r="B273"/>
  <c r="B274"/>
  <c r="B270"/>
  <c r="A271"/>
  <c r="A272"/>
  <c r="A273"/>
  <c r="A274"/>
  <c r="A270"/>
  <c r="B269"/>
  <c r="A269"/>
  <c r="R563" i="2"/>
  <c r="R562"/>
  <c r="R561"/>
  <c r="R560"/>
  <c r="R559"/>
  <c r="G260" i="1"/>
  <c r="G317" s="1"/>
  <c r="D260"/>
  <c r="B260"/>
  <c r="A260"/>
  <c r="B259"/>
  <c r="A259"/>
  <c r="G257"/>
  <c r="G258"/>
  <c r="D254"/>
  <c r="D255"/>
  <c r="D256"/>
  <c r="D257"/>
  <c r="D258"/>
  <c r="D253"/>
  <c r="B254"/>
  <c r="B255"/>
  <c r="B256"/>
  <c r="B257"/>
  <c r="B258"/>
  <c r="B253"/>
  <c r="A254"/>
  <c r="A255"/>
  <c r="A256"/>
  <c r="A257"/>
  <c r="A258"/>
  <c r="A253"/>
  <c r="D251"/>
  <c r="B251"/>
  <c r="A251"/>
  <c r="B250"/>
  <c r="A250"/>
  <c r="G245"/>
  <c r="G302" s="1"/>
  <c r="G246"/>
  <c r="G303" s="1"/>
  <c r="G247"/>
  <c r="G304" s="1"/>
  <c r="G248"/>
  <c r="G305" s="1"/>
  <c r="G249"/>
  <c r="G306" s="1"/>
  <c r="G244"/>
  <c r="G301" s="1"/>
  <c r="D245"/>
  <c r="D246"/>
  <c r="D247"/>
  <c r="D248"/>
  <c r="D249"/>
  <c r="D244"/>
  <c r="B245"/>
  <c r="B246"/>
  <c r="B247"/>
  <c r="B248"/>
  <c r="B249"/>
  <c r="B244"/>
  <c r="A245"/>
  <c r="A246"/>
  <c r="A247"/>
  <c r="A248"/>
  <c r="A249"/>
  <c r="A244"/>
  <c r="C270" l="1"/>
  <c r="C274"/>
  <c r="C278"/>
  <c r="C271"/>
  <c r="C272"/>
  <c r="C276"/>
  <c r="C273"/>
  <c r="C277"/>
  <c r="G370"/>
  <c r="G471" s="1"/>
  <c r="G596"/>
  <c r="G369"/>
  <c r="G470" s="1"/>
  <c r="G595"/>
  <c r="M830" i="2"/>
  <c r="G799"/>
  <c r="C365" i="1" s="1"/>
  <c r="K811" i="2"/>
  <c r="G796" s="1"/>
  <c r="C362" i="1" s="1"/>
  <c r="K810" i="2"/>
  <c r="G795" s="1"/>
  <c r="C361" i="1" s="1"/>
  <c r="K812" i="2"/>
  <c r="G797" s="1"/>
  <c r="C363" i="1" s="1"/>
  <c r="C305"/>
  <c r="B243"/>
  <c r="A243"/>
  <c r="R522" i="2"/>
  <c r="R521"/>
  <c r="R520"/>
  <c r="R519"/>
  <c r="R518"/>
  <c r="D231" i="1"/>
  <c r="B231"/>
  <c r="A231"/>
  <c r="D230"/>
  <c r="B230"/>
  <c r="A230"/>
  <c r="D229"/>
  <c r="B229"/>
  <c r="A229"/>
  <c r="D228"/>
  <c r="B228"/>
  <c r="A228"/>
  <c r="G224"/>
  <c r="G289" s="1"/>
  <c r="G225"/>
  <c r="G290" s="1"/>
  <c r="G226"/>
  <c r="G291" s="1"/>
  <c r="G485" s="1"/>
  <c r="G569" s="1"/>
  <c r="G228"/>
  <c r="G229"/>
  <c r="G294" s="1"/>
  <c r="G388" s="1"/>
  <c r="G230"/>
  <c r="G295" s="1"/>
  <c r="G389" s="1"/>
  <c r="G231"/>
  <c r="G296" s="1"/>
  <c r="G390" s="1"/>
  <c r="A227"/>
  <c r="D227"/>
  <c r="B227"/>
  <c r="D226"/>
  <c r="D225"/>
  <c r="B226"/>
  <c r="B225"/>
  <c r="A225"/>
  <c r="D224"/>
  <c r="B224"/>
  <c r="A224"/>
  <c r="D223"/>
  <c r="B223"/>
  <c r="A223"/>
  <c r="O431" i="2"/>
  <c r="D222" i="1"/>
  <c r="B222"/>
  <c r="A222"/>
  <c r="G220"/>
  <c r="G285" s="1"/>
  <c r="G479" s="1"/>
  <c r="G563" s="1"/>
  <c r="G219"/>
  <c r="G284" s="1"/>
  <c r="G478" s="1"/>
  <c r="G562" s="1"/>
  <c r="D220"/>
  <c r="D219"/>
  <c r="B220"/>
  <c r="A220"/>
  <c r="B219"/>
  <c r="A219"/>
  <c r="A218"/>
  <c r="R454" i="2"/>
  <c r="R444"/>
  <c r="B217" i="1"/>
  <c r="A217"/>
  <c r="B213"/>
  <c r="B214"/>
  <c r="B212"/>
  <c r="A213"/>
  <c r="A214"/>
  <c r="A212"/>
  <c r="D213"/>
  <c r="D214"/>
  <c r="D212"/>
  <c r="D207"/>
  <c r="D208"/>
  <c r="D209"/>
  <c r="D210"/>
  <c r="D206"/>
  <c r="B207"/>
  <c r="B208"/>
  <c r="B209"/>
  <c r="B210"/>
  <c r="B206"/>
  <c r="A207"/>
  <c r="A208"/>
  <c r="A209"/>
  <c r="A210"/>
  <c r="A206"/>
  <c r="B205"/>
  <c r="A205"/>
  <c r="R419" i="2"/>
  <c r="C214" i="1" s="1"/>
  <c r="R418" i="2"/>
  <c r="C213" i="1" s="1"/>
  <c r="R417" i="2"/>
  <c r="C212" i="1" s="1"/>
  <c r="R414" i="2"/>
  <c r="R413"/>
  <c r="R412"/>
  <c r="R411"/>
  <c r="R410"/>
  <c r="D194" i="1"/>
  <c r="D195"/>
  <c r="D193"/>
  <c r="B194"/>
  <c r="B195"/>
  <c r="B193"/>
  <c r="A194"/>
  <c r="A195"/>
  <c r="A193"/>
  <c r="B192"/>
  <c r="A192"/>
  <c r="R404" i="2"/>
  <c r="R403"/>
  <c r="R402"/>
  <c r="R173"/>
  <c r="D188" i="1"/>
  <c r="D189"/>
  <c r="D190"/>
  <c r="D191"/>
  <c r="D187"/>
  <c r="B188"/>
  <c r="B189"/>
  <c r="B190"/>
  <c r="B191"/>
  <c r="B187"/>
  <c r="A188"/>
  <c r="A189"/>
  <c r="A190"/>
  <c r="A191"/>
  <c r="A187"/>
  <c r="R399" i="2"/>
  <c r="R398"/>
  <c r="R397"/>
  <c r="R396"/>
  <c r="R395"/>
  <c r="B186" i="1"/>
  <c r="A186"/>
  <c r="D176"/>
  <c r="B176"/>
  <c r="A176"/>
  <c r="B175"/>
  <c r="A175"/>
  <c r="I173"/>
  <c r="I174"/>
  <c r="D170"/>
  <c r="D171"/>
  <c r="D172"/>
  <c r="D173"/>
  <c r="D174"/>
  <c r="D169"/>
  <c r="B170"/>
  <c r="B171"/>
  <c r="B172"/>
  <c r="B173"/>
  <c r="B174"/>
  <c r="B169"/>
  <c r="A170"/>
  <c r="A171"/>
  <c r="A172"/>
  <c r="A173"/>
  <c r="A174"/>
  <c r="A169"/>
  <c r="B168"/>
  <c r="A168"/>
  <c r="D167"/>
  <c r="D166"/>
  <c r="B165"/>
  <c r="A165"/>
  <c r="D160"/>
  <c r="D161"/>
  <c r="D162"/>
  <c r="D163"/>
  <c r="D164"/>
  <c r="D159"/>
  <c r="B160"/>
  <c r="B161"/>
  <c r="B162"/>
  <c r="B163"/>
  <c r="B164"/>
  <c r="B159"/>
  <c r="A160"/>
  <c r="A161"/>
  <c r="A162"/>
  <c r="A163"/>
  <c r="A164"/>
  <c r="A159"/>
  <c r="B158"/>
  <c r="A158"/>
  <c r="R355" i="2"/>
  <c r="R354"/>
  <c r="R175"/>
  <c r="R174"/>
  <c r="C193" i="1" l="1"/>
  <c r="C194"/>
  <c r="C195"/>
  <c r="J390"/>
  <c r="G489"/>
  <c r="G573" s="1"/>
  <c r="J389"/>
  <c r="G488"/>
  <c r="G572" s="1"/>
  <c r="J388"/>
  <c r="G487"/>
  <c r="G571" s="1"/>
  <c r="G293"/>
  <c r="G340"/>
  <c r="G382" s="1"/>
  <c r="I382" s="1"/>
  <c r="J382" s="1"/>
  <c r="G484"/>
  <c r="G568" s="1"/>
  <c r="I292"/>
  <c r="I384"/>
  <c r="M489" i="2"/>
  <c r="O579"/>
  <c r="M638" s="1"/>
  <c r="R351"/>
  <c r="D134" i="1"/>
  <c r="D133"/>
  <c r="B134"/>
  <c r="B133"/>
  <c r="A134"/>
  <c r="A133"/>
  <c r="B132"/>
  <c r="A132"/>
  <c r="A131"/>
  <c r="C130"/>
  <c r="D130"/>
  <c r="B130"/>
  <c r="A130"/>
  <c r="M322" i="2"/>
  <c r="D132" i="1"/>
  <c r="D131"/>
  <c r="B131"/>
  <c r="D129"/>
  <c r="B129"/>
  <c r="A129"/>
  <c r="D128"/>
  <c r="B128"/>
  <c r="A128"/>
  <c r="D127"/>
  <c r="B127"/>
  <c r="A127"/>
  <c r="G126"/>
  <c r="G223" s="1"/>
  <c r="G288" s="1"/>
  <c r="G380" s="1"/>
  <c r="G125"/>
  <c r="G222" s="1"/>
  <c r="G287" s="1"/>
  <c r="G379" s="1"/>
  <c r="D126"/>
  <c r="B126"/>
  <c r="A126"/>
  <c r="D125"/>
  <c r="B125"/>
  <c r="A125"/>
  <c r="B124"/>
  <c r="A124"/>
  <c r="D123"/>
  <c r="B123"/>
  <c r="A123"/>
  <c r="D122"/>
  <c r="B122"/>
  <c r="A122"/>
  <c r="D121"/>
  <c r="B121"/>
  <c r="A121"/>
  <c r="D120"/>
  <c r="B120"/>
  <c r="A120"/>
  <c r="D119"/>
  <c r="D118"/>
  <c r="B119"/>
  <c r="A119"/>
  <c r="B118"/>
  <c r="A118"/>
  <c r="M260" i="2"/>
  <c r="D117" i="1"/>
  <c r="B117"/>
  <c r="A117"/>
  <c r="R254" i="2"/>
  <c r="R249"/>
  <c r="D116" i="1"/>
  <c r="B116"/>
  <c r="A116"/>
  <c r="D115"/>
  <c r="B115"/>
  <c r="A115"/>
  <c r="D114"/>
  <c r="D113"/>
  <c r="B114"/>
  <c r="A114"/>
  <c r="B113"/>
  <c r="A113"/>
  <c r="B112"/>
  <c r="A112"/>
  <c r="D111"/>
  <c r="R227" i="2"/>
  <c r="C111" i="1" s="1"/>
  <c r="B111"/>
  <c r="A111"/>
  <c r="D110"/>
  <c r="B110"/>
  <c r="A110"/>
  <c r="R214" i="2"/>
  <c r="D108" i="1"/>
  <c r="B108"/>
  <c r="A108"/>
  <c r="B107"/>
  <c r="A107"/>
  <c r="B106"/>
  <c r="A106"/>
  <c r="G444" l="1"/>
  <c r="G343"/>
  <c r="G486"/>
  <c r="G570" s="1"/>
  <c r="G441"/>
  <c r="I379"/>
  <c r="J379" s="1"/>
  <c r="G481"/>
  <c r="G565" s="1"/>
  <c r="G482"/>
  <c r="G566" s="1"/>
  <c r="R491" i="2"/>
  <c r="C227" i="1" s="1"/>
  <c r="R640" i="2"/>
  <c r="C292" i="1" s="1"/>
  <c r="J292" s="1"/>
  <c r="D102"/>
  <c r="D103"/>
  <c r="D101"/>
  <c r="B102"/>
  <c r="B103"/>
  <c r="B101"/>
  <c r="A102"/>
  <c r="A103"/>
  <c r="A101"/>
  <c r="B100"/>
  <c r="A100"/>
  <c r="C103"/>
  <c r="C102"/>
  <c r="C101"/>
  <c r="G98"/>
  <c r="G99"/>
  <c r="G191" s="1"/>
  <c r="G96"/>
  <c r="G97"/>
  <c r="G95"/>
  <c r="D96"/>
  <c r="D97"/>
  <c r="D98"/>
  <c r="D99"/>
  <c r="D95"/>
  <c r="B96"/>
  <c r="B97"/>
  <c r="B98"/>
  <c r="B99"/>
  <c r="B95"/>
  <c r="A96"/>
  <c r="A97"/>
  <c r="A98"/>
  <c r="A99"/>
  <c r="A95"/>
  <c r="B94"/>
  <c r="A94"/>
  <c r="R170" i="2"/>
  <c r="C99" i="1" s="1"/>
  <c r="R169" i="2"/>
  <c r="C98" i="1" s="1"/>
  <c r="R168" i="2"/>
  <c r="C97" i="1" s="1"/>
  <c r="R167" i="2"/>
  <c r="C96" i="1" s="1"/>
  <c r="R166" i="2"/>
  <c r="C95" i="1" s="1"/>
  <c r="D87"/>
  <c r="B87"/>
  <c r="A87"/>
  <c r="B86"/>
  <c r="A86"/>
  <c r="D85"/>
  <c r="B85"/>
  <c r="A85"/>
  <c r="B84"/>
  <c r="A84"/>
  <c r="O131" i="2"/>
  <c r="I134" s="1"/>
  <c r="G81" i="1"/>
  <c r="R140" i="2"/>
  <c r="C80" i="1" s="1"/>
  <c r="D81"/>
  <c r="D82"/>
  <c r="D83"/>
  <c r="D80"/>
  <c r="B81"/>
  <c r="B82"/>
  <c r="B83"/>
  <c r="B80"/>
  <c r="A81"/>
  <c r="A82"/>
  <c r="A83"/>
  <c r="A80"/>
  <c r="B79"/>
  <c r="A79"/>
  <c r="R126" i="2"/>
  <c r="D78" i="1"/>
  <c r="B78"/>
  <c r="A78"/>
  <c r="B77"/>
  <c r="A77"/>
  <c r="D72"/>
  <c r="D73"/>
  <c r="D74"/>
  <c r="D75"/>
  <c r="D76"/>
  <c r="D71"/>
  <c r="B72"/>
  <c r="B73"/>
  <c r="B74"/>
  <c r="B75"/>
  <c r="B76"/>
  <c r="B71"/>
  <c r="A72"/>
  <c r="A73"/>
  <c r="A74"/>
  <c r="A75"/>
  <c r="A76"/>
  <c r="A71"/>
  <c r="B70"/>
  <c r="A70"/>
  <c r="R122" i="2"/>
  <c r="R121"/>
  <c r="R118"/>
  <c r="G169" i="1" l="1"/>
  <c r="G187"/>
  <c r="G193" s="1"/>
  <c r="G189"/>
  <c r="G194" s="1"/>
  <c r="G171"/>
  <c r="G312" s="1"/>
  <c r="I312" s="1"/>
  <c r="G170"/>
  <c r="G311" s="1"/>
  <c r="I311" s="1"/>
  <c r="G188"/>
  <c r="G172"/>
  <c r="G313" s="1"/>
  <c r="I313" s="1"/>
  <c r="G190"/>
  <c r="I133" i="2"/>
  <c r="I136"/>
  <c r="I135"/>
  <c r="D65" i="1"/>
  <c r="D64"/>
  <c r="D63"/>
  <c r="D62"/>
  <c r="D60"/>
  <c r="D59"/>
  <c r="D58"/>
  <c r="D57"/>
  <c r="D56"/>
  <c r="B65"/>
  <c r="A65"/>
  <c r="B64"/>
  <c r="A64"/>
  <c r="B63"/>
  <c r="A63"/>
  <c r="B62"/>
  <c r="A62"/>
  <c r="B60"/>
  <c r="A60"/>
  <c r="B59"/>
  <c r="A59"/>
  <c r="B58"/>
  <c r="A58"/>
  <c r="B57"/>
  <c r="A57"/>
  <c r="B56"/>
  <c r="A56"/>
  <c r="I169" l="1"/>
  <c r="G310"/>
  <c r="I310" s="1"/>
  <c r="G253"/>
  <c r="G591" s="1"/>
  <c r="I172"/>
  <c r="G256"/>
  <c r="G594" s="1"/>
  <c r="I171"/>
  <c r="G255"/>
  <c r="G593" s="1"/>
  <c r="I170"/>
  <c r="G254"/>
  <c r="G592" s="1"/>
  <c r="D54"/>
  <c r="D53"/>
  <c r="B54"/>
  <c r="B53"/>
  <c r="A54"/>
  <c r="A53"/>
  <c r="B52"/>
  <c r="A52"/>
  <c r="B51"/>
  <c r="A51"/>
  <c r="D47"/>
  <c r="D48"/>
  <c r="D46"/>
  <c r="B47"/>
  <c r="B48"/>
  <c r="B46"/>
  <c r="A47"/>
  <c r="A48"/>
  <c r="A46"/>
  <c r="B45"/>
  <c r="A45"/>
  <c r="R41" i="2"/>
  <c r="R42"/>
  <c r="R43"/>
  <c r="A41" i="1"/>
  <c r="A42"/>
  <c r="A43"/>
  <c r="A44"/>
  <c r="A40"/>
  <c r="B39"/>
  <c r="A39"/>
  <c r="R38" i="2"/>
  <c r="R37"/>
  <c r="R35"/>
  <c r="R36"/>
  <c r="R34"/>
  <c r="B41" i="1"/>
  <c r="B42"/>
  <c r="B43"/>
  <c r="B44"/>
  <c r="B40"/>
  <c r="D31"/>
  <c r="B31"/>
  <c r="B30"/>
  <c r="A31"/>
  <c r="A30"/>
  <c r="A29"/>
  <c r="A28"/>
  <c r="B28"/>
  <c r="B29"/>
  <c r="B27"/>
  <c r="A16"/>
  <c r="A17"/>
  <c r="A18"/>
  <c r="A19"/>
  <c r="A20"/>
  <c r="A21"/>
  <c r="A22"/>
  <c r="A23"/>
  <c r="A24"/>
  <c r="A15"/>
  <c r="B14"/>
  <c r="A14"/>
  <c r="B11"/>
  <c r="B10"/>
  <c r="A11"/>
  <c r="A10"/>
  <c r="D24"/>
  <c r="R23" i="2"/>
  <c r="C24" i="1" s="1"/>
  <c r="D16"/>
  <c r="D17"/>
  <c r="D18"/>
  <c r="D19"/>
  <c r="D20"/>
  <c r="D21"/>
  <c r="D22"/>
  <c r="D23"/>
  <c r="D15"/>
  <c r="B16"/>
  <c r="B17"/>
  <c r="B18"/>
  <c r="B19"/>
  <c r="B20"/>
  <c r="B21"/>
  <c r="B22"/>
  <c r="B23"/>
  <c r="B24"/>
  <c r="B15"/>
  <c r="C46" l="1"/>
  <c r="C47"/>
  <c r="C48"/>
  <c r="D11"/>
  <c r="C11"/>
  <c r="A7"/>
  <c r="A6"/>
  <c r="B7"/>
  <c r="D7"/>
  <c r="C7"/>
  <c r="R84" i="2" l="1"/>
  <c r="S50"/>
  <c r="H62" i="7" l="1"/>
  <c r="D58"/>
  <c r="H58" s="1"/>
  <c r="G210" i="1" l="1"/>
  <c r="G274" s="1"/>
  <c r="G329" s="1"/>
  <c r="G102"/>
  <c r="G48"/>
  <c r="G47"/>
  <c r="G82" s="1"/>
  <c r="G46"/>
  <c r="G103" l="1"/>
  <c r="G209" s="1"/>
  <c r="G83"/>
  <c r="G101"/>
  <c r="G206" s="1"/>
  <c r="G80"/>
  <c r="G207"/>
  <c r="G271" s="1"/>
  <c r="G208"/>
  <c r="I7"/>
  <c r="J7" s="1"/>
  <c r="H100" i="7"/>
  <c r="F91"/>
  <c r="F90"/>
  <c r="F89"/>
  <c r="G89"/>
  <c r="G91"/>
  <c r="G90"/>
  <c r="C91"/>
  <c r="C90"/>
  <c r="C89"/>
  <c r="H53"/>
  <c r="H59"/>
  <c r="D67"/>
  <c r="D65"/>
  <c r="D66" s="1"/>
  <c r="H54"/>
  <c r="D51"/>
  <c r="H51" s="1"/>
  <c r="G326" i="1" l="1"/>
  <c r="G355" s="1"/>
  <c r="G412" s="1"/>
  <c r="G212"/>
  <c r="G270"/>
  <c r="G325" s="1"/>
  <c r="G214"/>
  <c r="G273"/>
  <c r="G328" s="1"/>
  <c r="G213"/>
  <c r="G272"/>
  <c r="G327" s="1"/>
  <c r="G195"/>
  <c r="D64" i="7"/>
  <c r="D101"/>
  <c r="H101" s="1"/>
  <c r="D103"/>
  <c r="H103" l="1"/>
  <c r="D104"/>
  <c r="H104" s="1"/>
  <c r="G431" i="1"/>
  <c r="G456"/>
  <c r="G495" s="1"/>
  <c r="G450"/>
  <c r="I465"/>
  <c r="I464"/>
  <c r="I463"/>
  <c r="I453"/>
  <c r="J453" s="1"/>
  <c r="I452"/>
  <c r="J452" s="1"/>
  <c r="I451"/>
  <c r="J451" s="1"/>
  <c r="I449"/>
  <c r="J449" s="1"/>
  <c r="I448"/>
  <c r="J448" s="1"/>
  <c r="I445"/>
  <c r="I444"/>
  <c r="I442"/>
  <c r="I350"/>
  <c r="J350" s="1"/>
  <c r="I347"/>
  <c r="J347" s="1"/>
  <c r="I348"/>
  <c r="J348" s="1"/>
  <c r="I349"/>
  <c r="J349" s="1"/>
  <c r="G508" l="1"/>
  <c r="I337"/>
  <c r="J337" s="1"/>
  <c r="K67" i="7"/>
  <c r="D71" s="1"/>
  <c r="D40"/>
  <c r="D37"/>
  <c r="E35"/>
  <c r="E33"/>
  <c r="E34" s="1"/>
  <c r="D39" l="1"/>
  <c r="D41" s="1"/>
  <c r="D44" s="1"/>
  <c r="D72"/>
  <c r="H72" s="1"/>
  <c r="D68"/>
  <c r="D69" s="1"/>
  <c r="H69" s="1"/>
  <c r="D70"/>
  <c r="H70" s="1"/>
  <c r="H71"/>
  <c r="H65"/>
  <c r="H64"/>
  <c r="D63"/>
  <c r="H63" s="1"/>
  <c r="D49"/>
  <c r="D50"/>
  <c r="D52" s="1"/>
  <c r="H52" s="1"/>
  <c r="H49" l="1"/>
  <c r="G102"/>
  <c r="H102" s="1"/>
  <c r="H68"/>
  <c r="H66"/>
  <c r="H67"/>
  <c r="H50"/>
  <c r="D91"/>
  <c r="H91" s="1"/>
  <c r="D90"/>
  <c r="H90" s="1"/>
  <c r="D89"/>
  <c r="H89" s="1"/>
  <c r="G84"/>
  <c r="D83"/>
  <c r="G83" s="1"/>
  <c r="D82"/>
  <c r="G82" s="1"/>
  <c r="D11"/>
  <c r="H73" l="1"/>
  <c r="H55"/>
  <c r="H106"/>
  <c r="H92"/>
  <c r="G85"/>
  <c r="I85" s="1"/>
  <c r="H74" l="1"/>
  <c r="H76" s="1"/>
  <c r="H94"/>
  <c r="C640" i="1" l="1"/>
  <c r="C639"/>
  <c r="C638"/>
  <c r="C637"/>
  <c r="C636"/>
  <c r="I639"/>
  <c r="I640"/>
  <c r="I638"/>
  <c r="I637"/>
  <c r="I636"/>
  <c r="J638" l="1"/>
  <c r="J639"/>
  <c r="J640"/>
  <c r="J637"/>
  <c r="J636"/>
  <c r="I352" l="1"/>
  <c r="J352" s="1"/>
  <c r="I342"/>
  <c r="I344"/>
  <c r="I377"/>
  <c r="J384"/>
  <c r="I351"/>
  <c r="J351" s="1"/>
  <c r="I341"/>
  <c r="I362"/>
  <c r="I363"/>
  <c r="I364"/>
  <c r="J463"/>
  <c r="J464"/>
  <c r="J465"/>
  <c r="J442"/>
  <c r="J444"/>
  <c r="J445"/>
  <c r="J362" l="1"/>
  <c r="J342"/>
  <c r="J341"/>
  <c r="J364"/>
  <c r="J363"/>
  <c r="J344" l="1"/>
  <c r="I416"/>
  <c r="J377" l="1"/>
  <c r="J416"/>
  <c r="I376" l="1"/>
  <c r="J376" s="1"/>
  <c r="I375"/>
  <c r="J375" s="1"/>
  <c r="G30" l="1"/>
  <c r="G427" l="1"/>
  <c r="I427" s="1"/>
  <c r="J427" s="1"/>
  <c r="G428"/>
  <c r="G35" l="1"/>
  <c r="G425"/>
  <c r="G36"/>
  <c r="G426"/>
  <c r="I428"/>
  <c r="J428" s="1"/>
  <c r="C505" l="1"/>
  <c r="C504"/>
  <c r="C503"/>
  <c r="C502"/>
  <c r="C501"/>
  <c r="G522" l="1"/>
  <c r="I182"/>
  <c r="J182" s="1"/>
  <c r="I183"/>
  <c r="J183" s="1"/>
  <c r="I92"/>
  <c r="J92" s="1"/>
  <c r="I93"/>
  <c r="J93" s="1"/>
  <c r="I38"/>
  <c r="J38" s="1"/>
  <c r="I37"/>
  <c r="J37" s="1"/>
  <c r="I11"/>
  <c r="I19"/>
  <c r="I91" l="1"/>
  <c r="J91" s="1"/>
  <c r="G202"/>
  <c r="G266" s="1"/>
  <c r="G321" s="1"/>
  <c r="G545" s="1"/>
  <c r="I545" s="1"/>
  <c r="J545" s="1"/>
  <c r="G201"/>
  <c r="G185"/>
  <c r="G184"/>
  <c r="I90"/>
  <c r="J90" s="1"/>
  <c r="J11"/>
  <c r="I321" l="1"/>
  <c r="J321" s="1"/>
  <c r="G503"/>
  <c r="I266"/>
  <c r="J266" s="1"/>
  <c r="I201"/>
  <c r="J201" s="1"/>
  <c r="G265"/>
  <c r="G320" s="1"/>
  <c r="I184"/>
  <c r="J184" s="1"/>
  <c r="G203"/>
  <c r="G267" s="1"/>
  <c r="G322" s="1"/>
  <c r="I185"/>
  <c r="J185" s="1"/>
  <c r="G204"/>
  <c r="J8"/>
  <c r="J12"/>
  <c r="G504" l="1"/>
  <c r="I504" s="1"/>
  <c r="J504" s="1"/>
  <c r="G546"/>
  <c r="I546" s="1"/>
  <c r="J546" s="1"/>
  <c r="G502"/>
  <c r="G544"/>
  <c r="I544" s="1"/>
  <c r="J544" s="1"/>
  <c r="I523"/>
  <c r="J523" s="1"/>
  <c r="I503"/>
  <c r="J503" s="1"/>
  <c r="I320"/>
  <c r="J320" s="1"/>
  <c r="I265"/>
  <c r="J265" s="1"/>
  <c r="I267"/>
  <c r="J267" s="1"/>
  <c r="I204"/>
  <c r="J204" s="1"/>
  <c r="G268"/>
  <c r="G323" s="1"/>
  <c r="I525" l="1"/>
  <c r="J525" s="1"/>
  <c r="G505"/>
  <c r="I505" s="1"/>
  <c r="J505" s="1"/>
  <c r="G547"/>
  <c r="I547" s="1"/>
  <c r="J547" s="1"/>
  <c r="I606"/>
  <c r="J606" s="1"/>
  <c r="I524"/>
  <c r="J524" s="1"/>
  <c r="I323"/>
  <c r="J323" s="1"/>
  <c r="I268"/>
  <c r="J268" s="1"/>
  <c r="S1383" i="2"/>
  <c r="S1227"/>
  <c r="S193"/>
  <c r="S431"/>
  <c r="S579"/>
  <c r="G278" i="1" l="1"/>
  <c r="G333" s="1"/>
  <c r="G526"/>
  <c r="I526" s="1"/>
  <c r="J526" s="1"/>
  <c r="G434"/>
  <c r="R31" i="2"/>
  <c r="C31" i="1" s="1"/>
  <c r="C17"/>
  <c r="C18"/>
  <c r="C19"/>
  <c r="J19" s="1"/>
  <c r="C21"/>
  <c r="C22"/>
  <c r="G511" l="1"/>
  <c r="G532" s="1"/>
  <c r="G553" s="1"/>
  <c r="G331"/>
  <c r="G354" s="1"/>
  <c r="G276"/>
  <c r="G529"/>
  <c r="G550" s="1"/>
  <c r="G610" s="1"/>
  <c r="G629" s="1"/>
  <c r="G357"/>
  <c r="I511"/>
  <c r="J511" s="1"/>
  <c r="I502"/>
  <c r="J502" s="1"/>
  <c r="G438"/>
  <c r="D27" i="7"/>
  <c r="G32" i="1" s="1"/>
  <c r="G613" l="1"/>
  <c r="G642" s="1"/>
  <c r="G433"/>
  <c r="G414"/>
  <c r="G277"/>
  <c r="I508"/>
  <c r="J508" s="1"/>
  <c r="G458" l="1"/>
  <c r="G497" s="1"/>
  <c r="G332"/>
  <c r="R1490" i="2"/>
  <c r="C592" i="1" s="1"/>
  <c r="R1491" i="2"/>
  <c r="C593" i="1" s="1"/>
  <c r="R1492" i="2"/>
  <c r="C594" i="1" s="1"/>
  <c r="R1489" i="2"/>
  <c r="C591" i="1" s="1"/>
  <c r="R1436" i="2"/>
  <c r="C569" i="1" s="1"/>
  <c r="R1431" i="2"/>
  <c r="C568" i="1" s="1"/>
  <c r="R1415" i="2"/>
  <c r="C565" i="1" s="1"/>
  <c r="R1407" i="2"/>
  <c r="C563" i="1" s="1"/>
  <c r="R1397" i="2"/>
  <c r="C562" i="1" s="1"/>
  <c r="Q1383" i="2"/>
  <c r="R1441" s="1"/>
  <c r="I607" i="1"/>
  <c r="J607" s="1"/>
  <c r="I605"/>
  <c r="J605" s="1"/>
  <c r="I604"/>
  <c r="J604" s="1"/>
  <c r="I582"/>
  <c r="D1360" i="2"/>
  <c r="C1360"/>
  <c r="R1493" l="1"/>
  <c r="C595" i="1" s="1"/>
  <c r="R1494" i="2"/>
  <c r="C596" i="1" s="1"/>
  <c r="G510"/>
  <c r="G531" s="1"/>
  <c r="G356"/>
  <c r="I510"/>
  <c r="J510" s="1"/>
  <c r="G437"/>
  <c r="G368"/>
  <c r="G469" s="1"/>
  <c r="G494" s="1"/>
  <c r="R1447" i="2"/>
  <c r="C571" i="1" s="1"/>
  <c r="R1458" i="2"/>
  <c r="C573" i="1" s="1"/>
  <c r="I583"/>
  <c r="J583" s="1"/>
  <c r="R1452" i="2"/>
  <c r="C572" i="1" s="1"/>
  <c r="I586"/>
  <c r="J586" s="1"/>
  <c r="I598"/>
  <c r="I589"/>
  <c r="J589" s="1"/>
  <c r="I587"/>
  <c r="I584"/>
  <c r="J584" s="1"/>
  <c r="J582"/>
  <c r="I585"/>
  <c r="J585" s="1"/>
  <c r="R1421" i="2"/>
  <c r="R1501"/>
  <c r="C598" i="1" s="1"/>
  <c r="G515" l="1"/>
  <c r="I515" s="1"/>
  <c r="J515" s="1"/>
  <c r="G507"/>
  <c r="C566"/>
  <c r="R1426" i="2"/>
  <c r="C567" i="1" s="1"/>
  <c r="G432"/>
  <c r="G413"/>
  <c r="G457" s="1"/>
  <c r="G411"/>
  <c r="G455" s="1"/>
  <c r="G552"/>
  <c r="G612" s="1"/>
  <c r="G536"/>
  <c r="C570"/>
  <c r="J587"/>
  <c r="J598"/>
  <c r="I1312" i="2"/>
  <c r="R1319" s="1"/>
  <c r="C495" i="1" s="1"/>
  <c r="I1313" i="2"/>
  <c r="R1320" s="1"/>
  <c r="C496" i="1" s="1"/>
  <c r="I1314" i="2"/>
  <c r="R1321" s="1"/>
  <c r="C497" i="1" s="1"/>
  <c r="I1311" i="2"/>
  <c r="R1318" s="1"/>
  <c r="C494" i="1" s="1"/>
  <c r="G496" l="1"/>
  <c r="G430"/>
  <c r="G557"/>
  <c r="R1280" i="2"/>
  <c r="C485" i="1" s="1"/>
  <c r="R1275" i="2"/>
  <c r="C484" i="1" s="1"/>
  <c r="R1259" i="2"/>
  <c r="C481" i="1" s="1"/>
  <c r="R1251" i="2"/>
  <c r="C479" i="1" s="1"/>
  <c r="R1241" i="2"/>
  <c r="C478" i="1" s="1"/>
  <c r="Q1227" i="2"/>
  <c r="R1285" s="1"/>
  <c r="C422" i="1"/>
  <c r="G509" l="1"/>
  <c r="G436"/>
  <c r="R1328" i="2"/>
  <c r="C499" i="1" s="1"/>
  <c r="R1302" i="2"/>
  <c r="C489" i="1" s="1"/>
  <c r="I499"/>
  <c r="R1265" i="2"/>
  <c r="R1270" s="1"/>
  <c r="R1291"/>
  <c r="C487" i="1" s="1"/>
  <c r="R1296" i="2"/>
  <c r="C488" i="1" s="1"/>
  <c r="R30" i="2"/>
  <c r="C30" i="1" s="1"/>
  <c r="D8" i="7"/>
  <c r="E6"/>
  <c r="E4"/>
  <c r="E5" s="1"/>
  <c r="G530" i="1" l="1"/>
  <c r="G514"/>
  <c r="I514" s="1"/>
  <c r="J514" s="1"/>
  <c r="I509"/>
  <c r="J509" s="1"/>
  <c r="D10" i="7"/>
  <c r="D12" s="1"/>
  <c r="D15" s="1"/>
  <c r="J499" i="1"/>
  <c r="C482"/>
  <c r="C486"/>
  <c r="C483"/>
  <c r="G551" l="1"/>
  <c r="G611" s="1"/>
  <c r="G535"/>
  <c r="G617"/>
  <c r="G648" s="1"/>
  <c r="G556" l="1"/>
  <c r="G644"/>
  <c r="C314"/>
  <c r="J314" s="1"/>
  <c r="R698" i="2"/>
  <c r="C315" i="1" s="1"/>
  <c r="J315" s="1"/>
  <c r="E676" i="2"/>
  <c r="D676"/>
  <c r="G649" i="1" l="1"/>
  <c r="G513"/>
  <c r="I507"/>
  <c r="J507" s="1"/>
  <c r="R632" i="2"/>
  <c r="C291" i="1" s="1"/>
  <c r="R627" i="2"/>
  <c r="C290" i="1" s="1"/>
  <c r="R611" i="2"/>
  <c r="C287" i="1" s="1"/>
  <c r="Q579" i="2"/>
  <c r="R645" s="1"/>
  <c r="I301" i="1"/>
  <c r="I322"/>
  <c r="J322" s="1"/>
  <c r="I537" i="2"/>
  <c r="R545" s="1"/>
  <c r="I538"/>
  <c r="R546" s="1"/>
  <c r="I539"/>
  <c r="R547" s="1"/>
  <c r="R548"/>
  <c r="C257" i="1" s="1"/>
  <c r="R549" i="2"/>
  <c r="I536"/>
  <c r="R544" s="1"/>
  <c r="C251" i="1"/>
  <c r="R523" i="2"/>
  <c r="C249" i="1" s="1"/>
  <c r="C247"/>
  <c r="C246"/>
  <c r="C245"/>
  <c r="C244"/>
  <c r="I244"/>
  <c r="R661" i="2" l="1"/>
  <c r="C296" i="1" s="1"/>
  <c r="R651" i="2"/>
  <c r="C294" i="1" s="1"/>
  <c r="C293"/>
  <c r="C258"/>
  <c r="G528"/>
  <c r="I513"/>
  <c r="J513" s="1"/>
  <c r="R705" i="2"/>
  <c r="C317" i="1" s="1"/>
  <c r="I245"/>
  <c r="J245" s="1"/>
  <c r="I304"/>
  <c r="J304" s="1"/>
  <c r="R617" i="2"/>
  <c r="I305" i="1"/>
  <c r="J305" s="1"/>
  <c r="I306"/>
  <c r="J301"/>
  <c r="I249"/>
  <c r="J249" s="1"/>
  <c r="I302"/>
  <c r="J302" s="1"/>
  <c r="I303"/>
  <c r="J303" s="1"/>
  <c r="I308"/>
  <c r="J308" s="1"/>
  <c r="I247"/>
  <c r="J247" s="1"/>
  <c r="I317"/>
  <c r="I248"/>
  <c r="I260"/>
  <c r="I251"/>
  <c r="J251" s="1"/>
  <c r="I246"/>
  <c r="J246" s="1"/>
  <c r="C248"/>
  <c r="J244"/>
  <c r="C220"/>
  <c r="C219"/>
  <c r="R483" i="2"/>
  <c r="C226" i="1" s="1"/>
  <c r="R478" i="2"/>
  <c r="C225" i="1" s="1"/>
  <c r="R462" i="2"/>
  <c r="C222" i="1" s="1"/>
  <c r="G616" l="1"/>
  <c r="G647" s="1"/>
  <c r="R622" i="2"/>
  <c r="C289" i="1" s="1"/>
  <c r="R656" i="2"/>
  <c r="C295" i="1" s="1"/>
  <c r="G534"/>
  <c r="J317"/>
  <c r="C288"/>
  <c r="J306"/>
  <c r="J248"/>
  <c r="Q431" i="2"/>
  <c r="R496" s="1"/>
  <c r="G643" i="1" l="1"/>
  <c r="R512" i="2"/>
  <c r="G549" i="1"/>
  <c r="G609" s="1"/>
  <c r="G615" s="1"/>
  <c r="G628" s="1"/>
  <c r="R556" i="2"/>
  <c r="C260" i="1" s="1"/>
  <c r="J260" s="1"/>
  <c r="R502" i="2"/>
  <c r="C229" i="1" s="1"/>
  <c r="R468" i="2"/>
  <c r="R507" s="1"/>
  <c r="C230" i="1" s="1"/>
  <c r="G646" l="1"/>
  <c r="R473" i="2"/>
  <c r="C224" i="1" s="1"/>
  <c r="G555"/>
  <c r="C228"/>
  <c r="C231"/>
  <c r="C223"/>
  <c r="S368" i="2" l="1"/>
  <c r="I374"/>
  <c r="R383" s="1"/>
  <c r="C173" i="1" s="1"/>
  <c r="J173" s="1"/>
  <c r="I375" i="2"/>
  <c r="R384" s="1"/>
  <c r="C174" i="1" s="1"/>
  <c r="J174" s="1"/>
  <c r="I370" i="2"/>
  <c r="I371"/>
  <c r="I372"/>
  <c r="I373"/>
  <c r="I369"/>
  <c r="C167" i="1"/>
  <c r="C166"/>
  <c r="I176"/>
  <c r="R356" i="2"/>
  <c r="C164" i="1" s="1"/>
  <c r="C162"/>
  <c r="C161"/>
  <c r="C160"/>
  <c r="C159"/>
  <c r="S372" i="2" l="1"/>
  <c r="R380" s="1"/>
  <c r="C170" i="1" s="1"/>
  <c r="J170" s="1"/>
  <c r="C163"/>
  <c r="S371" i="2"/>
  <c r="R379" s="1"/>
  <c r="C169" i="1" s="1"/>
  <c r="J169" s="1"/>
  <c r="S375" i="2"/>
  <c r="S374"/>
  <c r="R382" s="1"/>
  <c r="C172" i="1" s="1"/>
  <c r="J172" s="1"/>
  <c r="S373" i="2"/>
  <c r="R381" s="1"/>
  <c r="C171" i="1" s="1"/>
  <c r="J171" s="1"/>
  <c r="I167"/>
  <c r="J167" s="1"/>
  <c r="I166"/>
  <c r="I164"/>
  <c r="I163"/>
  <c r="I159"/>
  <c r="C310" l="1"/>
  <c r="J310" s="1"/>
  <c r="C313"/>
  <c r="J313" s="1"/>
  <c r="C311"/>
  <c r="J311" s="1"/>
  <c r="C312"/>
  <c r="J312" s="1"/>
  <c r="C253"/>
  <c r="C256"/>
  <c r="C254"/>
  <c r="C255"/>
  <c r="I160"/>
  <c r="J160" s="1"/>
  <c r="J166"/>
  <c r="I161"/>
  <c r="J161" s="1"/>
  <c r="J164"/>
  <c r="J159"/>
  <c r="J163"/>
  <c r="I162"/>
  <c r="J162" s="1"/>
  <c r="R295" i="2" l="1"/>
  <c r="C125" i="1" s="1"/>
  <c r="R316" i="2"/>
  <c r="C129" i="1" s="1"/>
  <c r="R311" i="2"/>
  <c r="C128" i="1" s="1"/>
  <c r="R262" i="2" l="1"/>
  <c r="C118" i="1" s="1"/>
  <c r="C117"/>
  <c r="C116"/>
  <c r="R234" i="2"/>
  <c r="C113" i="1" s="1"/>
  <c r="R199" i="2"/>
  <c r="C108" i="1" s="1"/>
  <c r="I108"/>
  <c r="J108" l="1"/>
  <c r="C110" l="1"/>
  <c r="I203" l="1"/>
  <c r="J203" s="1"/>
  <c r="I202"/>
  <c r="J202" s="1"/>
  <c r="Q193" i="2" l="1"/>
  <c r="R329" s="1"/>
  <c r="K188"/>
  <c r="S188" s="1"/>
  <c r="K187"/>
  <c r="S187" s="1"/>
  <c r="K186"/>
  <c r="S186" s="1"/>
  <c r="K185"/>
  <c r="S185" s="1"/>
  <c r="K184"/>
  <c r="S184" s="1"/>
  <c r="K183"/>
  <c r="S183" s="1"/>
  <c r="R272" l="1"/>
  <c r="R335"/>
  <c r="C132" i="1" s="1"/>
  <c r="R301" i="2"/>
  <c r="Q188"/>
  <c r="M183"/>
  <c r="O183" s="1"/>
  <c r="M185"/>
  <c r="O185" s="1"/>
  <c r="M187"/>
  <c r="O187" s="1"/>
  <c r="Q183"/>
  <c r="Q185"/>
  <c r="Q187"/>
  <c r="M184"/>
  <c r="O184" s="1"/>
  <c r="M186"/>
  <c r="O186" s="1"/>
  <c r="M188"/>
  <c r="O188" s="1"/>
  <c r="Q184"/>
  <c r="Q186"/>
  <c r="R391" l="1"/>
  <c r="C176" i="1" s="1"/>
  <c r="J176" s="1"/>
  <c r="R306" i="2"/>
  <c r="R345"/>
  <c r="C134" i="1" s="1"/>
  <c r="R340" i="2"/>
  <c r="C133" i="1" s="1"/>
  <c r="R287" i="2"/>
  <c r="C123" i="1" s="1"/>
  <c r="R267" i="2"/>
  <c r="C119" i="1" s="1"/>
  <c r="R277" i="2"/>
  <c r="C121" i="1" s="1"/>
  <c r="C126"/>
  <c r="C131"/>
  <c r="C127"/>
  <c r="R282" i="2"/>
  <c r="C122" i="1" s="1"/>
  <c r="R239" i="2"/>
  <c r="R141"/>
  <c r="C81" i="1" s="1"/>
  <c r="R142" i="2"/>
  <c r="C82" i="1" s="1"/>
  <c r="R143" i="2"/>
  <c r="C83" i="1" s="1"/>
  <c r="R79" i="2"/>
  <c r="R63"/>
  <c r="R55"/>
  <c r="R54"/>
  <c r="Q50"/>
  <c r="R74" l="1"/>
  <c r="R97"/>
  <c r="C114" i="1"/>
  <c r="R244" i="2"/>
  <c r="C115" i="1" s="1"/>
  <c r="R114" i="2"/>
  <c r="R149"/>
  <c r="R104"/>
  <c r="R109"/>
  <c r="R69"/>
  <c r="S156"/>
  <c r="Q156"/>
  <c r="R162" s="1"/>
  <c r="C87" i="1" s="1"/>
  <c r="C78" l="1"/>
  <c r="C75"/>
  <c r="C73"/>
  <c r="C72"/>
  <c r="C71"/>
  <c r="C74" l="1"/>
  <c r="R123" i="2"/>
  <c r="C76" i="1" s="1"/>
  <c r="I71" l="1"/>
  <c r="J71" s="1"/>
  <c r="I76" l="1"/>
  <c r="J76" s="1"/>
  <c r="I75"/>
  <c r="J75" s="1"/>
  <c r="I74"/>
  <c r="J74" s="1"/>
  <c r="I73"/>
  <c r="J73" s="1"/>
  <c r="I72"/>
  <c r="J72" s="1"/>
  <c r="C60" l="1"/>
  <c r="C54" l="1"/>
  <c r="C53"/>
  <c r="R22" i="2" l="1"/>
  <c r="C20" i="1"/>
  <c r="R15" i="2"/>
  <c r="C16" i="1" s="1"/>
  <c r="R14" i="2"/>
  <c r="C15" i="1" s="1"/>
  <c r="C23" l="1"/>
  <c r="G298"/>
  <c r="G492"/>
  <c r="G34" l="1"/>
  <c r="G447"/>
  <c r="G424"/>
  <c r="G89"/>
  <c r="G501"/>
  <c r="G264"/>
  <c r="G200"/>
  <c r="G319"/>
  <c r="G181"/>
  <c r="G346"/>
  <c r="G603"/>
  <c r="C120"/>
  <c r="G543" l="1"/>
  <c r="G239"/>
  <c r="G68"/>
  <c r="G578"/>
  <c r="E33" i="3" l="1"/>
  <c r="E35" s="1"/>
  <c r="H27"/>
  <c r="H33"/>
  <c r="H30"/>
  <c r="H29"/>
  <c r="H28"/>
  <c r="H26"/>
  <c r="E17"/>
  <c r="E19" s="1"/>
  <c r="H15"/>
  <c r="H17" s="1"/>
  <c r="H13"/>
  <c r="H12"/>
  <c r="H11"/>
  <c r="H10"/>
  <c r="H9"/>
  <c r="F45" i="26" l="1"/>
  <c r="G45" s="1"/>
  <c r="F43"/>
  <c r="G43" s="1"/>
  <c r="F94"/>
  <c r="F72"/>
  <c r="G72" s="1"/>
  <c r="F70"/>
  <c r="G70" s="1"/>
  <c r="F48"/>
  <c r="G48" s="1"/>
  <c r="F56"/>
  <c r="G56" s="1"/>
  <c r="F20"/>
  <c r="G20" s="1"/>
  <c r="F29"/>
  <c r="G29" s="1"/>
  <c r="F93"/>
  <c r="F65"/>
  <c r="G65" s="1"/>
  <c r="F59"/>
  <c r="G59" s="1"/>
  <c r="F67"/>
  <c r="G67" s="1"/>
  <c r="F95"/>
  <c r="F19"/>
  <c r="G19" s="1"/>
  <c r="F21"/>
  <c r="G21" s="1"/>
  <c r="F54"/>
  <c r="G54" s="1"/>
  <c r="F28"/>
  <c r="G28" s="1"/>
  <c r="F37"/>
  <c r="G37" s="1"/>
  <c r="F31"/>
  <c r="G31" s="1"/>
  <c r="F26"/>
  <c r="G26" s="1"/>
  <c r="F23"/>
  <c r="G23" s="1"/>
  <c r="F32"/>
  <c r="G32" s="1"/>
  <c r="F30"/>
  <c r="G30" s="1"/>
  <c r="F8"/>
  <c r="F38"/>
  <c r="G38" s="1"/>
  <c r="F36"/>
  <c r="G36" s="1"/>
  <c r="F9"/>
  <c r="G9" s="1"/>
  <c r="F39"/>
  <c r="G39" s="1"/>
  <c r="F24"/>
  <c r="G24" s="1"/>
  <c r="F27"/>
  <c r="G27" s="1"/>
  <c r="F44"/>
  <c r="G44" s="1"/>
  <c r="G17"/>
  <c r="H535" i="1"/>
  <c r="I535" s="1"/>
  <c r="J535" s="1"/>
  <c r="H536"/>
  <c r="I536" s="1"/>
  <c r="J536" s="1"/>
  <c r="H496"/>
  <c r="I496" s="1"/>
  <c r="J496" s="1"/>
  <c r="H486"/>
  <c r="I486" s="1"/>
  <c r="J486" s="1"/>
  <c r="H497"/>
  <c r="I497" s="1"/>
  <c r="J497" s="1"/>
  <c r="H494"/>
  <c r="I494" s="1"/>
  <c r="J494" s="1"/>
  <c r="H495"/>
  <c r="I495" s="1"/>
  <c r="J495" s="1"/>
  <c r="H380"/>
  <c r="I380" s="1"/>
  <c r="J380" s="1"/>
  <c r="H227"/>
  <c r="I227" s="1"/>
  <c r="J227" s="1"/>
  <c r="H130"/>
  <c r="I130" s="1"/>
  <c r="J130" s="1"/>
  <c r="H80"/>
  <c r="I80" s="1"/>
  <c r="J80" s="1"/>
  <c r="H81"/>
  <c r="I81" s="1"/>
  <c r="J81" s="1"/>
  <c r="H82"/>
  <c r="I82" s="1"/>
  <c r="J82" s="1"/>
  <c r="H83"/>
  <c r="I83" s="1"/>
  <c r="J83" s="1"/>
  <c r="H649"/>
  <c r="I649" s="1"/>
  <c r="J649" s="1"/>
  <c r="H414"/>
  <c r="I414" s="1"/>
  <c r="J414" s="1"/>
  <c r="H647"/>
  <c r="I647" s="1"/>
  <c r="J647" s="1"/>
  <c r="H644"/>
  <c r="I644" s="1"/>
  <c r="J644" s="1"/>
  <c r="H612"/>
  <c r="I612" s="1"/>
  <c r="J612" s="1"/>
  <c r="H628"/>
  <c r="I628" s="1"/>
  <c r="J628" s="1"/>
  <c r="H556"/>
  <c r="I556" s="1"/>
  <c r="J556" s="1"/>
  <c r="H552"/>
  <c r="I552" s="1"/>
  <c r="J552" s="1"/>
  <c r="H534"/>
  <c r="I534" s="1"/>
  <c r="J534" s="1"/>
  <c r="H532"/>
  <c r="I532" s="1"/>
  <c r="J532" s="1"/>
  <c r="H458"/>
  <c r="I458" s="1"/>
  <c r="J458" s="1"/>
  <c r="H436"/>
  <c r="I436" s="1"/>
  <c r="J436" s="1"/>
  <c r="H434"/>
  <c r="I434" s="1"/>
  <c r="J434" s="1"/>
  <c r="H371"/>
  <c r="I371" s="1"/>
  <c r="J371" s="1"/>
  <c r="H356"/>
  <c r="I356" s="1"/>
  <c r="J356" s="1"/>
  <c r="H333"/>
  <c r="I333" s="1"/>
  <c r="J333" s="1"/>
  <c r="H328"/>
  <c r="I328" s="1"/>
  <c r="J328" s="1"/>
  <c r="H278"/>
  <c r="I278" s="1"/>
  <c r="J278" s="1"/>
  <c r="H273"/>
  <c r="I273" s="1"/>
  <c r="J273" s="1"/>
  <c r="H214"/>
  <c r="I214" s="1"/>
  <c r="J214" s="1"/>
  <c r="H209"/>
  <c r="I209" s="1"/>
  <c r="J209" s="1"/>
  <c r="H195"/>
  <c r="I195" s="1"/>
  <c r="J195" s="1"/>
  <c r="H191"/>
  <c r="I191" s="1"/>
  <c r="J191" s="1"/>
  <c r="H103"/>
  <c r="I103" s="1"/>
  <c r="J103" s="1"/>
  <c r="H98"/>
  <c r="I98" s="1"/>
  <c r="J98" s="1"/>
  <c r="H48"/>
  <c r="I48" s="1"/>
  <c r="J48" s="1"/>
  <c r="H42"/>
  <c r="I42" s="1"/>
  <c r="J42" s="1"/>
  <c r="H610"/>
  <c r="I610" s="1"/>
  <c r="J610" s="1"/>
  <c r="H609"/>
  <c r="I609" s="1"/>
  <c r="J609" s="1"/>
  <c r="H555"/>
  <c r="I555" s="1"/>
  <c r="J555" s="1"/>
  <c r="H530"/>
  <c r="I530" s="1"/>
  <c r="J530" s="1"/>
  <c r="H438"/>
  <c r="I438" s="1"/>
  <c r="J438" s="1"/>
  <c r="H430"/>
  <c r="I430" s="1"/>
  <c r="J430" s="1"/>
  <c r="H354"/>
  <c r="I354" s="1"/>
  <c r="J354" s="1"/>
  <c r="H325"/>
  <c r="I325" s="1"/>
  <c r="J325" s="1"/>
  <c r="H207"/>
  <c r="I207" s="1"/>
  <c r="J207" s="1"/>
  <c r="H189"/>
  <c r="I189" s="1"/>
  <c r="J189" s="1"/>
  <c r="H96"/>
  <c r="I96" s="1"/>
  <c r="J96" s="1"/>
  <c r="H629"/>
  <c r="I629" s="1"/>
  <c r="H553"/>
  <c r="I553" s="1"/>
  <c r="J553" s="1"/>
  <c r="H531"/>
  <c r="I531" s="1"/>
  <c r="J531" s="1"/>
  <c r="H433"/>
  <c r="I433" s="1"/>
  <c r="J433" s="1"/>
  <c r="H355"/>
  <c r="I355" s="1"/>
  <c r="J355" s="1"/>
  <c r="H327"/>
  <c r="I327" s="1"/>
  <c r="J327" s="1"/>
  <c r="H272"/>
  <c r="I272" s="1"/>
  <c r="J272" s="1"/>
  <c r="H208"/>
  <c r="I208" s="1"/>
  <c r="J208" s="1"/>
  <c r="H190"/>
  <c r="I190" s="1"/>
  <c r="J190" s="1"/>
  <c r="H102"/>
  <c r="I102" s="1"/>
  <c r="J102" s="1"/>
  <c r="H648"/>
  <c r="I648" s="1"/>
  <c r="J648" s="1"/>
  <c r="H642"/>
  <c r="I642" s="1"/>
  <c r="J642" s="1"/>
  <c r="H613"/>
  <c r="I613" s="1"/>
  <c r="J613" s="1"/>
  <c r="H616"/>
  <c r="I616" s="1"/>
  <c r="J616" s="1"/>
  <c r="H557"/>
  <c r="I557" s="1"/>
  <c r="J557" s="1"/>
  <c r="H551"/>
  <c r="I551" s="1"/>
  <c r="J551" s="1"/>
  <c r="H529"/>
  <c r="I529" s="1"/>
  <c r="J529" s="1"/>
  <c r="H528"/>
  <c r="I528" s="1"/>
  <c r="J528" s="1"/>
  <c r="H455"/>
  <c r="I455" s="1"/>
  <c r="J455" s="1"/>
  <c r="H431"/>
  <c r="I431" s="1"/>
  <c r="J431" s="1"/>
  <c r="H443"/>
  <c r="I443" s="1"/>
  <c r="J443" s="1"/>
  <c r="H368"/>
  <c r="I368" s="1"/>
  <c r="J368" s="1"/>
  <c r="H357"/>
  <c r="I357" s="1"/>
  <c r="J357" s="1"/>
  <c r="H331"/>
  <c r="I331" s="1"/>
  <c r="J331" s="1"/>
  <c r="H329"/>
  <c r="I329" s="1"/>
  <c r="J329" s="1"/>
  <c r="H276"/>
  <c r="I276" s="1"/>
  <c r="J276" s="1"/>
  <c r="H274"/>
  <c r="I274" s="1"/>
  <c r="J274" s="1"/>
  <c r="H212"/>
  <c r="I212" s="1"/>
  <c r="J212" s="1"/>
  <c r="H210"/>
  <c r="I210" s="1"/>
  <c r="J210" s="1"/>
  <c r="H193"/>
  <c r="I193" s="1"/>
  <c r="J193" s="1"/>
  <c r="H188"/>
  <c r="I188" s="1"/>
  <c r="J188" s="1"/>
  <c r="H101"/>
  <c r="I101" s="1"/>
  <c r="J101" s="1"/>
  <c r="H99"/>
  <c r="I99" s="1"/>
  <c r="J99" s="1"/>
  <c r="H46"/>
  <c r="I46" s="1"/>
  <c r="J46" s="1"/>
  <c r="H43"/>
  <c r="I43" s="1"/>
  <c r="J43" s="1"/>
  <c r="H646"/>
  <c r="I646" s="1"/>
  <c r="J646" s="1"/>
  <c r="H617"/>
  <c r="I617" s="1"/>
  <c r="J617" s="1"/>
  <c r="H550"/>
  <c r="I550" s="1"/>
  <c r="J550" s="1"/>
  <c r="H456"/>
  <c r="I456" s="1"/>
  <c r="J456" s="1"/>
  <c r="H432"/>
  <c r="I432" s="1"/>
  <c r="J432" s="1"/>
  <c r="H372"/>
  <c r="I372" s="1"/>
  <c r="J372" s="1"/>
  <c r="H326"/>
  <c r="I326" s="1"/>
  <c r="J326" s="1"/>
  <c r="H271"/>
  <c r="I271" s="1"/>
  <c r="J271" s="1"/>
  <c r="H270"/>
  <c r="I270" s="1"/>
  <c r="J270" s="1"/>
  <c r="H206"/>
  <c r="I206" s="1"/>
  <c r="J206" s="1"/>
  <c r="H187"/>
  <c r="I187" s="1"/>
  <c r="J187" s="1"/>
  <c r="H95"/>
  <c r="I95" s="1"/>
  <c r="J95" s="1"/>
  <c r="H41"/>
  <c r="I41" s="1"/>
  <c r="J41" s="1"/>
  <c r="H643"/>
  <c r="I643" s="1"/>
  <c r="J643" s="1"/>
  <c r="H611"/>
  <c r="I611" s="1"/>
  <c r="J611" s="1"/>
  <c r="H615"/>
  <c r="I615" s="1"/>
  <c r="J615" s="1"/>
  <c r="H549"/>
  <c r="I549" s="1"/>
  <c r="J549" s="1"/>
  <c r="H457"/>
  <c r="I457" s="1"/>
  <c r="J457" s="1"/>
  <c r="H437"/>
  <c r="I437" s="1"/>
  <c r="J437" s="1"/>
  <c r="H370"/>
  <c r="I370" s="1"/>
  <c r="J370" s="1"/>
  <c r="H332"/>
  <c r="I332" s="1"/>
  <c r="J332" s="1"/>
  <c r="H277"/>
  <c r="I277" s="1"/>
  <c r="J277" s="1"/>
  <c r="H213"/>
  <c r="I213" s="1"/>
  <c r="J213" s="1"/>
  <c r="H194"/>
  <c r="I194" s="1"/>
  <c r="J194" s="1"/>
  <c r="H97"/>
  <c r="I97" s="1"/>
  <c r="J97" s="1"/>
  <c r="H47"/>
  <c r="I47" s="1"/>
  <c r="J47" s="1"/>
  <c r="H44"/>
  <c r="I44" s="1"/>
  <c r="J44" s="1"/>
  <c r="H40"/>
  <c r="I40" s="1"/>
  <c r="J40" s="1"/>
  <c r="H441"/>
  <c r="I441" s="1"/>
  <c r="J441" s="1"/>
  <c r="H517"/>
  <c r="I517" s="1"/>
  <c r="J517" s="1"/>
  <c r="H538"/>
  <c r="I538" s="1"/>
  <c r="J538" s="1"/>
  <c r="H262"/>
  <c r="I262" s="1"/>
  <c r="J262" s="1"/>
  <c r="H369"/>
  <c r="I369" s="1"/>
  <c r="J369" s="1"/>
  <c r="H340"/>
  <c r="H412"/>
  <c r="I412" s="1"/>
  <c r="J412" s="1"/>
  <c r="H413"/>
  <c r="I413" s="1"/>
  <c r="J413" s="1"/>
  <c r="H411"/>
  <c r="I411" s="1"/>
  <c r="J411" s="1"/>
  <c r="H393"/>
  <c r="I393" s="1"/>
  <c r="J393" s="1"/>
  <c r="H630"/>
  <c r="I630" s="1"/>
  <c r="J630" s="1"/>
  <c r="H402"/>
  <c r="I402" s="1"/>
  <c r="J402" s="1"/>
  <c r="H403"/>
  <c r="I403" s="1"/>
  <c r="J403" s="1"/>
  <c r="H401"/>
  <c r="I401" s="1"/>
  <c r="J401" s="1"/>
  <c r="H18"/>
  <c r="H20" s="1"/>
  <c r="I20" s="1"/>
  <c r="J20" s="1"/>
  <c r="H17"/>
  <c r="I17" s="1"/>
  <c r="J17" s="1"/>
  <c r="H466"/>
  <c r="I466" s="1"/>
  <c r="J466" s="1"/>
  <c r="H462"/>
  <c r="I462" s="1"/>
  <c r="J462" s="1"/>
  <c r="H447"/>
  <c r="I447" s="1"/>
  <c r="J447" s="1"/>
  <c r="H450"/>
  <c r="I450" s="1"/>
  <c r="J450" s="1"/>
  <c r="H461"/>
  <c r="I461" s="1"/>
  <c r="J461" s="1"/>
  <c r="H460"/>
  <c r="I460" s="1"/>
  <c r="J460" s="1"/>
  <c r="H346"/>
  <c r="I346" s="1"/>
  <c r="J346" s="1"/>
  <c r="H467"/>
  <c r="I467" s="1"/>
  <c r="J467" s="1"/>
  <c r="H635"/>
  <c r="I635" s="1"/>
  <c r="J635" s="1"/>
  <c r="H361"/>
  <c r="I361" s="1"/>
  <c r="J361" s="1"/>
  <c r="H360"/>
  <c r="I360" s="1"/>
  <c r="J360" s="1"/>
  <c r="H359"/>
  <c r="I359" s="1"/>
  <c r="J359" s="1"/>
  <c r="H366"/>
  <c r="I366" s="1"/>
  <c r="J366" s="1"/>
  <c r="H365"/>
  <c r="I365" s="1"/>
  <c r="J365" s="1"/>
  <c r="H425"/>
  <c r="I425" s="1"/>
  <c r="J425" s="1"/>
  <c r="H426"/>
  <c r="I426" s="1"/>
  <c r="J426" s="1"/>
  <c r="H21"/>
  <c r="H15"/>
  <c r="I15" s="1"/>
  <c r="J15" s="1"/>
  <c r="H16"/>
  <c r="H35"/>
  <c r="I35" s="1"/>
  <c r="J35" s="1"/>
  <c r="H36"/>
  <c r="I36" s="1"/>
  <c r="J36" s="1"/>
  <c r="H32"/>
  <c r="I32" s="1"/>
  <c r="J32" s="1"/>
  <c r="H621"/>
  <c r="I621" s="1"/>
  <c r="J621" s="1"/>
  <c r="H603"/>
  <c r="I603" s="1"/>
  <c r="J603" s="1"/>
  <c r="H424"/>
  <c r="I424" s="1"/>
  <c r="J424" s="1"/>
  <c r="H543"/>
  <c r="I543" s="1"/>
  <c r="J543" s="1"/>
  <c r="H319"/>
  <c r="I319" s="1"/>
  <c r="J319" s="1"/>
  <c r="H522"/>
  <c r="I522" s="1"/>
  <c r="J522" s="1"/>
  <c r="H622"/>
  <c r="I622" s="1"/>
  <c r="J622" s="1"/>
  <c r="H501"/>
  <c r="I501" s="1"/>
  <c r="J501" s="1"/>
  <c r="H623"/>
  <c r="I623" s="1"/>
  <c r="J623" s="1"/>
  <c r="I624"/>
  <c r="J624" s="1"/>
  <c r="H200"/>
  <c r="I200" s="1"/>
  <c r="J200" s="1"/>
  <c r="H181"/>
  <c r="I181" s="1"/>
  <c r="J181" s="1"/>
  <c r="H89"/>
  <c r="I89" s="1"/>
  <c r="J89" s="1"/>
  <c r="H22"/>
  <c r="I22" s="1"/>
  <c r="J22" s="1"/>
  <c r="H264"/>
  <c r="I264" s="1"/>
  <c r="J264" s="1"/>
  <c r="H35" i="3"/>
  <c r="I31" i="1"/>
  <c r="J31" s="1"/>
  <c r="H34"/>
  <c r="I34" s="1"/>
  <c r="J34" s="1"/>
  <c r="H578"/>
  <c r="I578" s="1"/>
  <c r="J578" s="1"/>
  <c r="H576"/>
  <c r="I576" s="1"/>
  <c r="J576" s="1"/>
  <c r="H577"/>
  <c r="I577" s="1"/>
  <c r="J577" s="1"/>
  <c r="H575"/>
  <c r="I575" s="1"/>
  <c r="J575" s="1"/>
  <c r="H579"/>
  <c r="I579" s="1"/>
  <c r="J579" s="1"/>
  <c r="H580"/>
  <c r="I580" s="1"/>
  <c r="J580" s="1"/>
  <c r="H491"/>
  <c r="I491" s="1"/>
  <c r="J491" s="1"/>
  <c r="H492"/>
  <c r="I492" s="1"/>
  <c r="J492" s="1"/>
  <c r="H298"/>
  <c r="I298" s="1"/>
  <c r="J298" s="1"/>
  <c r="I178"/>
  <c r="J178" s="1"/>
  <c r="I299"/>
  <c r="J299" s="1"/>
  <c r="H239"/>
  <c r="I239" s="1"/>
  <c r="J239" s="1"/>
  <c r="H237"/>
  <c r="I237" s="1"/>
  <c r="J237" s="1"/>
  <c r="H234"/>
  <c r="I234" s="1"/>
  <c r="J234" s="1"/>
  <c r="H235"/>
  <c r="I235" s="1"/>
  <c r="J235" s="1"/>
  <c r="H240"/>
  <c r="I240" s="1"/>
  <c r="J240" s="1"/>
  <c r="H238"/>
  <c r="I238" s="1"/>
  <c r="J238" s="1"/>
  <c r="H233"/>
  <c r="I233" s="1"/>
  <c r="J233" s="1"/>
  <c r="H241"/>
  <c r="I241" s="1"/>
  <c r="J241" s="1"/>
  <c r="H236"/>
  <c r="I236" s="1"/>
  <c r="J236" s="1"/>
  <c r="H242"/>
  <c r="I242" s="1"/>
  <c r="J242" s="1"/>
  <c r="H179"/>
  <c r="I179" s="1"/>
  <c r="J179" s="1"/>
  <c r="H154"/>
  <c r="I154" s="1"/>
  <c r="J154" s="1"/>
  <c r="H150"/>
  <c r="I150" s="1"/>
  <c r="J150" s="1"/>
  <c r="H156"/>
  <c r="I156" s="1"/>
  <c r="J156" s="1"/>
  <c r="H138"/>
  <c r="I138" s="1"/>
  <c r="J138" s="1"/>
  <c r="H142"/>
  <c r="I142" s="1"/>
  <c r="J142" s="1"/>
  <c r="H146"/>
  <c r="I146" s="1"/>
  <c r="J146" s="1"/>
  <c r="H152"/>
  <c r="I152" s="1"/>
  <c r="J152" s="1"/>
  <c r="I140"/>
  <c r="J140" s="1"/>
  <c r="H149"/>
  <c r="I149" s="1"/>
  <c r="J149" s="1"/>
  <c r="I141"/>
  <c r="J141" s="1"/>
  <c r="H155"/>
  <c r="I155" s="1"/>
  <c r="J155" s="1"/>
  <c r="H151"/>
  <c r="I151" s="1"/>
  <c r="J151" s="1"/>
  <c r="I157"/>
  <c r="J157" s="1"/>
  <c r="H139"/>
  <c r="I139" s="1"/>
  <c r="J139" s="1"/>
  <c r="H143"/>
  <c r="I143" s="1"/>
  <c r="J143" s="1"/>
  <c r="H147"/>
  <c r="I147" s="1"/>
  <c r="J147" s="1"/>
  <c r="I148"/>
  <c r="J148" s="1"/>
  <c r="I136"/>
  <c r="J136" s="1"/>
  <c r="I144"/>
  <c r="J144" s="1"/>
  <c r="H153"/>
  <c r="I153" s="1"/>
  <c r="J153" s="1"/>
  <c r="I137"/>
  <c r="J137" s="1"/>
  <c r="I145"/>
  <c r="J145" s="1"/>
  <c r="H68"/>
  <c r="I68" s="1"/>
  <c r="J68" s="1"/>
  <c r="H69"/>
  <c r="I69" s="1"/>
  <c r="J69" s="1"/>
  <c r="H67"/>
  <c r="I67" s="1"/>
  <c r="J67" s="1"/>
  <c r="I573"/>
  <c r="J573" s="1"/>
  <c r="I571"/>
  <c r="J571" s="1"/>
  <c r="H568"/>
  <c r="I568" s="1"/>
  <c r="J568" s="1"/>
  <c r="I565"/>
  <c r="J565" s="1"/>
  <c r="I562"/>
  <c r="J562" s="1"/>
  <c r="H570"/>
  <c r="I570" s="1"/>
  <c r="J570" s="1"/>
  <c r="I567"/>
  <c r="J567" s="1"/>
  <c r="I572"/>
  <c r="J572" s="1"/>
  <c r="H569"/>
  <c r="I569" s="1"/>
  <c r="J569" s="1"/>
  <c r="H566"/>
  <c r="I566" s="1"/>
  <c r="J566" s="1"/>
  <c r="I563"/>
  <c r="J563" s="1"/>
  <c r="H485"/>
  <c r="I485" s="1"/>
  <c r="J485" s="1"/>
  <c r="H482"/>
  <c r="I482" s="1"/>
  <c r="J482" s="1"/>
  <c r="I483"/>
  <c r="J483" s="1"/>
  <c r="I488"/>
  <c r="J488" s="1"/>
  <c r="I489"/>
  <c r="J489" s="1"/>
  <c r="I487"/>
  <c r="J487" s="1"/>
  <c r="H484"/>
  <c r="I484" s="1"/>
  <c r="J484" s="1"/>
  <c r="I481"/>
  <c r="J481" s="1"/>
  <c r="I478"/>
  <c r="J478" s="1"/>
  <c r="H422"/>
  <c r="I422" s="1"/>
  <c r="J422" s="1"/>
  <c r="I479"/>
  <c r="J479" s="1"/>
  <c r="H291"/>
  <c r="I291" s="1"/>
  <c r="J291" s="1"/>
  <c r="H288"/>
  <c r="I288" s="1"/>
  <c r="J288" s="1"/>
  <c r="I296"/>
  <c r="J296" s="1"/>
  <c r="I294"/>
  <c r="J294" s="1"/>
  <c r="H290"/>
  <c r="I290" s="1"/>
  <c r="J290" s="1"/>
  <c r="I287"/>
  <c r="J287" s="1"/>
  <c r="I284"/>
  <c r="J284" s="1"/>
  <c r="I295"/>
  <c r="J295" s="1"/>
  <c r="I289"/>
  <c r="J289" s="1"/>
  <c r="H293"/>
  <c r="I293" s="1"/>
  <c r="J293" s="1"/>
  <c r="I285"/>
  <c r="J285" s="1"/>
  <c r="I229"/>
  <c r="J229" s="1"/>
  <c r="I224"/>
  <c r="J224" s="1"/>
  <c r="I219"/>
  <c r="J219" s="1"/>
  <c r="I220"/>
  <c r="J220" s="1"/>
  <c r="H228"/>
  <c r="I228" s="1"/>
  <c r="J228" s="1"/>
  <c r="H223"/>
  <c r="I223" s="1"/>
  <c r="J223" s="1"/>
  <c r="I231"/>
  <c r="J231" s="1"/>
  <c r="H226"/>
  <c r="I226" s="1"/>
  <c r="J226" s="1"/>
  <c r="I222"/>
  <c r="J222" s="1"/>
  <c r="I230"/>
  <c r="J230" s="1"/>
  <c r="H225"/>
  <c r="I225" s="1"/>
  <c r="J225" s="1"/>
  <c r="I133"/>
  <c r="J133" s="1"/>
  <c r="H131"/>
  <c r="I131" s="1"/>
  <c r="J131" s="1"/>
  <c r="I134"/>
  <c r="J134" s="1"/>
  <c r="H128"/>
  <c r="I128" s="1"/>
  <c r="J128" s="1"/>
  <c r="I127"/>
  <c r="J127" s="1"/>
  <c r="H129"/>
  <c r="I129" s="1"/>
  <c r="J129" s="1"/>
  <c r="H126"/>
  <c r="I126" s="1"/>
  <c r="J126" s="1"/>
  <c r="I132"/>
  <c r="J132" s="1"/>
  <c r="I125"/>
  <c r="J125" s="1"/>
  <c r="H118"/>
  <c r="I118" s="1"/>
  <c r="J118" s="1"/>
  <c r="I122"/>
  <c r="J122" s="1"/>
  <c r="H119"/>
  <c r="I119" s="1"/>
  <c r="J119" s="1"/>
  <c r="I123"/>
  <c r="J123" s="1"/>
  <c r="I115"/>
  <c r="J115" s="1"/>
  <c r="H117"/>
  <c r="I117" s="1"/>
  <c r="J117" s="1"/>
  <c r="H114"/>
  <c r="I114" s="1"/>
  <c r="J114" s="1"/>
  <c r="H116"/>
  <c r="I116" s="1"/>
  <c r="J116" s="1"/>
  <c r="H120"/>
  <c r="I120" s="1"/>
  <c r="J120" s="1"/>
  <c r="I113"/>
  <c r="J113" s="1"/>
  <c r="I121"/>
  <c r="J121" s="1"/>
  <c r="I110"/>
  <c r="J110" s="1"/>
  <c r="I111"/>
  <c r="J111" s="1"/>
  <c r="I30"/>
  <c r="J30" s="1"/>
  <c r="H87"/>
  <c r="I87" s="1"/>
  <c r="J87" s="1"/>
  <c r="I85"/>
  <c r="I78"/>
  <c r="J78" s="1"/>
  <c r="H60"/>
  <c r="H59"/>
  <c r="I59" s="1"/>
  <c r="H62"/>
  <c r="I62" s="1"/>
  <c r="I56"/>
  <c r="H57"/>
  <c r="I57" s="1"/>
  <c r="I63"/>
  <c r="I58"/>
  <c r="I64"/>
  <c r="I53"/>
  <c r="J53" s="1"/>
  <c r="I65"/>
  <c r="I54"/>
  <c r="J54" s="1"/>
  <c r="H19" i="3"/>
  <c r="G8" i="26" l="1"/>
  <c r="F16"/>
  <c r="G16" s="1"/>
  <c r="G94"/>
  <c r="F10"/>
  <c r="G10" s="1"/>
  <c r="G95"/>
  <c r="G93"/>
  <c r="J618" i="1"/>
  <c r="J558"/>
  <c r="I18"/>
  <c r="J18" s="1"/>
  <c r="J215"/>
  <c r="J650"/>
  <c r="J539"/>
  <c r="H343"/>
  <c r="I343" s="1"/>
  <c r="J343" s="1"/>
  <c r="I340"/>
  <c r="J340" s="1"/>
  <c r="J417" s="1"/>
  <c r="I16"/>
  <c r="J16" s="1"/>
  <c r="H24"/>
  <c r="J474"/>
  <c r="I60"/>
  <c r="J60" s="1"/>
  <c r="H61"/>
  <c r="I61" s="1"/>
  <c r="J61" s="1"/>
  <c r="J518"/>
  <c r="J334"/>
  <c r="J279"/>
  <c r="I21"/>
  <c r="J21" s="1"/>
  <c r="J625"/>
  <c r="J49"/>
  <c r="J196"/>
  <c r="J599"/>
  <c r="C59"/>
  <c r="J59" s="1"/>
  <c r="J418" l="1"/>
  <c r="I23"/>
  <c r="J23" s="1"/>
  <c r="I24"/>
  <c r="J24" s="1"/>
  <c r="J25" l="1"/>
  <c r="G99" i="26" l="1"/>
  <c r="C64" i="1"/>
  <c r="J64" s="1"/>
  <c r="C65"/>
  <c r="J65" s="1"/>
  <c r="C56"/>
  <c r="J56" s="1"/>
  <c r="C57" l="1"/>
  <c r="J57" s="1"/>
  <c r="C63"/>
  <c r="J63" s="1"/>
  <c r="C85"/>
  <c r="J85" l="1"/>
  <c r="C62"/>
  <c r="J62" s="1"/>
  <c r="C58"/>
  <c r="J58" s="1"/>
  <c r="J104" l="1"/>
  <c r="J629"/>
  <c r="J631" s="1"/>
  <c r="J652" l="1"/>
  <c r="S329" i="2"/>
  <c r="D434"/>
  <c r="D16" i="22" l="1"/>
  <c r="C16" l="1"/>
  <c r="C18" s="1"/>
  <c r="D18" s="1"/>
  <c r="H16"/>
  <c r="G16" l="1"/>
  <c r="F16"/>
  <c r="I16"/>
  <c r="D17" s="1"/>
  <c r="E16"/>
  <c r="E18" s="1"/>
  <c r="F18" l="1"/>
  <c r="G18" s="1"/>
  <c r="H18" s="1"/>
  <c r="G17"/>
  <c r="H17"/>
  <c r="F17"/>
  <c r="C17"/>
  <c r="E17"/>
  <c r="I17" l="1"/>
  <c r="A4" i="3"/>
</calcChain>
</file>

<file path=xl/comments1.xml><?xml version="1.0" encoding="utf-8"?>
<comments xmlns="http://schemas.openxmlformats.org/spreadsheetml/2006/main">
  <authors>
    <author>Autor</author>
  </authors>
  <commentList>
    <comment ref="R8" authorId="0">
      <text>
        <r>
          <rPr>
            <b/>
            <sz val="9"/>
            <color indexed="81"/>
            <rFont val="Tahoma"/>
            <family val="2"/>
          </rPr>
          <t>Autor:</t>
        </r>
        <r>
          <rPr>
            <sz val="9"/>
            <color indexed="81"/>
            <rFont val="Tahoma"/>
            <family val="2"/>
          </rPr>
          <t xml:space="preserve">
12 macromedidores
1,5 h/macromedidor
</t>
        </r>
      </text>
    </comment>
    <comment ref="R11" authorId="0">
      <text>
        <r>
          <rPr>
            <b/>
            <sz val="9"/>
            <color indexed="81"/>
            <rFont val="Tahoma"/>
            <family val="2"/>
          </rPr>
          <t>Autor:</t>
        </r>
        <r>
          <rPr>
            <sz val="9"/>
            <color indexed="81"/>
            <rFont val="Tahoma"/>
            <family val="2"/>
          </rPr>
          <t xml:space="preserve">
12 macromedidores
1,5 h/macromedidor
</t>
        </r>
      </text>
    </comment>
    <comment ref="F850" authorId="0">
      <text>
        <r>
          <rPr>
            <b/>
            <sz val="9"/>
            <color indexed="81"/>
            <rFont val="Tahoma"/>
            <family val="2"/>
          </rPr>
          <t>Autor:</t>
        </r>
        <r>
          <rPr>
            <sz val="9"/>
            <color indexed="81"/>
            <rFont val="Tahoma"/>
            <family val="2"/>
          </rPr>
          <t xml:space="preserve">
Intevenções no traçado da rede</t>
        </r>
      </text>
    </comment>
    <comment ref="Q850" authorId="0">
      <text>
        <r>
          <rPr>
            <b/>
            <sz val="9"/>
            <color indexed="81"/>
            <rFont val="Tahoma"/>
            <family val="2"/>
          </rPr>
          <t>Autor:</t>
        </r>
        <r>
          <rPr>
            <sz val="9"/>
            <color indexed="81"/>
            <rFont val="Tahoma"/>
            <family val="2"/>
          </rPr>
          <t xml:space="preserve">
Conforme NBR</t>
        </r>
      </text>
    </comment>
    <comment ref="D1375" authorId="0">
      <text>
        <r>
          <rPr>
            <b/>
            <sz val="9"/>
            <color indexed="81"/>
            <rFont val="Tahoma"/>
            <family val="2"/>
          </rPr>
          <t>Autor:</t>
        </r>
        <r>
          <rPr>
            <sz val="9"/>
            <color indexed="81"/>
            <rFont val="Tahoma"/>
            <family val="2"/>
          </rPr>
          <t xml:space="preserve">
Não tem poço próprio, por isso não foi instalado macromedidor</t>
        </r>
      </text>
    </comment>
  </commentList>
</comments>
</file>

<file path=xl/comments2.xml><?xml version="1.0" encoding="utf-8"?>
<comments xmlns="http://schemas.openxmlformats.org/spreadsheetml/2006/main">
  <authors>
    <author>Autor</author>
  </authors>
  <commentList>
    <comment ref="C93" authorId="0">
      <text>
        <r>
          <rPr>
            <b/>
            <sz val="9"/>
            <color indexed="81"/>
            <rFont val="Segoe UI"/>
            <family val="2"/>
          </rPr>
          <t>Autor:</t>
        </r>
        <r>
          <rPr>
            <sz val="9"/>
            <color indexed="81"/>
            <rFont val="Segoe UI"/>
            <family val="2"/>
          </rPr>
          <t xml:space="preserve">
Considerei uma infra a mais para o CCO</t>
        </r>
      </text>
    </comment>
    <comment ref="C94" authorId="0">
      <text>
        <r>
          <rPr>
            <b/>
            <sz val="9"/>
            <color indexed="81"/>
            <rFont val="Segoe UI"/>
            <family val="2"/>
          </rPr>
          <t>Autor:</t>
        </r>
        <r>
          <rPr>
            <sz val="9"/>
            <color indexed="81"/>
            <rFont val="Segoe UI"/>
            <family val="2"/>
          </rPr>
          <t xml:space="preserve">
Considerado, Vila Nova possuem 2 reservatórios, reforma do proximo a secretaria da educação e do reservatório do setor 8 (reservatório de 500m3 novo, 250 metálico existente e de concreto elevado)</t>
        </r>
      </text>
    </comment>
  </commentList>
</comments>
</file>

<file path=xl/comments3.xml><?xml version="1.0" encoding="utf-8"?>
<comments xmlns="http://schemas.openxmlformats.org/spreadsheetml/2006/main">
  <authors>
    <author>Autor</author>
  </authors>
  <commentList>
    <comment ref="F63" authorId="0">
      <text>
        <r>
          <rPr>
            <b/>
            <sz val="10"/>
            <color indexed="81"/>
            <rFont val="Tahoma"/>
            <family val="2"/>
          </rPr>
          <t>Autor:</t>
        </r>
        <r>
          <rPr>
            <sz val="10"/>
            <color indexed="81"/>
            <rFont val="Tahoma"/>
            <family val="2"/>
          </rPr>
          <t xml:space="preserve">
Considerado custo de retro, porém, se for considerar minicarregadeira, considerar SINAPI 90692, custo R$119,70</t>
        </r>
      </text>
    </comment>
    <comment ref="F101" authorId="0">
      <text>
        <r>
          <rPr>
            <b/>
            <sz val="10"/>
            <color indexed="81"/>
            <rFont val="Tahoma"/>
            <family val="2"/>
          </rPr>
          <t>Autor:</t>
        </r>
        <r>
          <rPr>
            <sz val="10"/>
            <color indexed="81"/>
            <rFont val="Tahoma"/>
            <family val="2"/>
          </rPr>
          <t xml:space="preserve">
Considerado custo de retro, porém, se for considerar minicarregadeira, considerar SINAPI 90692, custo R$119,70</t>
        </r>
      </text>
    </comment>
  </commentList>
</comments>
</file>

<file path=xl/sharedStrings.xml><?xml version="1.0" encoding="utf-8"?>
<sst xmlns="http://schemas.openxmlformats.org/spreadsheetml/2006/main" count="4880" uniqueCount="1729">
  <si>
    <t>m</t>
  </si>
  <si>
    <t>Total</t>
  </si>
  <si>
    <t>mm</t>
  </si>
  <si>
    <t>Rev.</t>
  </si>
  <si>
    <t>Data:</t>
  </si>
  <si>
    <t>Tabela I - Dados gerais das tubulações projetadas.</t>
  </si>
  <si>
    <t>Extensão (m)</t>
  </si>
  <si>
    <t>1.1</t>
  </si>
  <si>
    <t>2.1</t>
  </si>
  <si>
    <t>Local:</t>
  </si>
  <si>
    <t>ITEM</t>
  </si>
  <si>
    <t>DESCRIÇÃO DOS SERVIÇOS</t>
  </si>
  <si>
    <t xml:space="preserve">BDI </t>
  </si>
  <si>
    <t>(%)</t>
  </si>
  <si>
    <t>Sub-Total 01</t>
  </si>
  <si>
    <t>Sub-Total 02</t>
  </si>
  <si>
    <t>Asfalto</t>
  </si>
  <si>
    <t>m²</t>
  </si>
  <si>
    <t>m³</t>
  </si>
  <si>
    <t>Serviços Hidráulicos</t>
  </si>
  <si>
    <t>Comprimento (m)</t>
  </si>
  <si>
    <t xml:space="preserve">Definição e demarcação da área de reparo com disco de corte </t>
  </si>
  <si>
    <t>Demolição de Pavimentação Asfáltica com utilização de martelo perfurador, espessura até 15cm, exclusive carga e transporte</t>
  </si>
  <si>
    <t>Remoção de entulho inclusive a carga, transporte e descarga em bota fora a qualquer distância</t>
  </si>
  <si>
    <t>Pintura de ligação em emulsão RR-2C</t>
  </si>
  <si>
    <t>Escavação (m³)</t>
  </si>
  <si>
    <r>
      <rPr>
        <sz val="14"/>
        <rFont val="Arial"/>
        <family val="2"/>
      </rPr>
      <t xml:space="preserve">       </t>
    </r>
    <r>
      <rPr>
        <sz val="10"/>
        <rFont val="Arial"/>
        <family val="2"/>
      </rPr>
      <t xml:space="preserve">                                                                                                                                                                                                                   </t>
    </r>
  </si>
  <si>
    <t>Tipo Trecho</t>
  </si>
  <si>
    <t>-</t>
  </si>
  <si>
    <t>Intervenções</t>
  </si>
  <si>
    <t>Quantidade</t>
  </si>
  <si>
    <t xml:space="preserve">Demarcação = Quantidade de Intervenções x Perímetro da Intervenção = Quantidade de </t>
  </si>
  <si>
    <t xml:space="preserve">Área de Demolição = Quantidade de Intervenções x Área da Intervenção = Quantidade de </t>
  </si>
  <si>
    <t>Escavação Total (m³)</t>
  </si>
  <si>
    <t xml:space="preserve">Volume da Sub-Base = Quantidade de Intervenções x Área da Intervenção x Espessura da </t>
  </si>
  <si>
    <t xml:space="preserve">Camada de Concreto Asfáltico = Quantidade de Intervenções x Área da Intervenção x Espessura </t>
  </si>
  <si>
    <t>Sinalização luminosa para obras</t>
  </si>
  <si>
    <t>Sinalização de tráfego com cerquite</t>
  </si>
  <si>
    <t>Ancoragens</t>
  </si>
  <si>
    <t>Ø Externo Tubo (mm)</t>
  </si>
  <si>
    <t>Ø Tubo Nominal (mm)</t>
  </si>
  <si>
    <t>Largura da Vala  (m)</t>
  </si>
  <si>
    <t>Largura de Corte (m)</t>
  </si>
  <si>
    <t>Área de Corte (m²)</t>
  </si>
  <si>
    <t>Área da Vala (m²)</t>
  </si>
  <si>
    <t>Profundidade Média (m)</t>
  </si>
  <si>
    <t>Volume de Reaterro Manual (m³)</t>
  </si>
  <si>
    <t>Profundidade (m)</t>
  </si>
  <si>
    <t xml:space="preserve">Área Total (m²)   </t>
  </si>
  <si>
    <t>Limpeza Final de Obra</t>
  </si>
  <si>
    <t>SERVIÇOS</t>
  </si>
  <si>
    <t>ITENS PARA CONTRATAÇÃO DE SERVIÇOS</t>
  </si>
  <si>
    <t>QUARTIL 2</t>
  </si>
  <si>
    <t>OBRAS DE ÁGUA E ESGOTO</t>
  </si>
  <si>
    <t>ITENS</t>
  </si>
  <si>
    <t>SIGLAS</t>
  </si>
  <si>
    <t>SEM DESONERAÇÃO</t>
  </si>
  <si>
    <t>COM DESONERAÇÃO</t>
  </si>
  <si>
    <t>Quartil 1</t>
  </si>
  <si>
    <t>Quartil 2</t>
  </si>
  <si>
    <t>Quartil 3</t>
  </si>
  <si>
    <t>ADMINISTRAÇÃO CENTRAL</t>
  </si>
  <si>
    <t>AC</t>
  </si>
  <si>
    <t>Administração Central</t>
  </si>
  <si>
    <t>SEGURO + GARANTIA</t>
  </si>
  <si>
    <t>S+G</t>
  </si>
  <si>
    <t>Seguro e Garantia</t>
  </si>
  <si>
    <t>RISCO</t>
  </si>
  <si>
    <t>R</t>
  </si>
  <si>
    <t>Risco</t>
  </si>
  <si>
    <t>DESPESA FINANCEIRA</t>
  </si>
  <si>
    <t>DF</t>
  </si>
  <si>
    <t>Despesa Financeira</t>
  </si>
  <si>
    <t>LUCRO</t>
  </si>
  <si>
    <t>L</t>
  </si>
  <si>
    <t>Lucro</t>
  </si>
  <si>
    <t>TRIBUTOS</t>
  </si>
  <si>
    <t>PC</t>
  </si>
  <si>
    <t>PIS e COFINS</t>
  </si>
  <si>
    <t>ISS</t>
  </si>
  <si>
    <t>CPRB</t>
  </si>
  <si>
    <t>BDI PARA OBRAS DE ÁGUA E ESGOTO CF ACÓRDÃO TCU 2622/2013</t>
  </si>
  <si>
    <t>CPRB* (DESONERAÇÃO)</t>
  </si>
  <si>
    <t>TT</t>
  </si>
  <si>
    <t>TOTAL TRIBUTOS</t>
  </si>
  <si>
    <t>BDI</t>
  </si>
  <si>
    <t>Fórmula BDI conforme Acórdão 2622/2013</t>
  </si>
  <si>
    <t>(1-T)</t>
  </si>
  <si>
    <t>MATERIAS</t>
  </si>
  <si>
    <t>MATERIAIS</t>
  </si>
  <si>
    <t>INTENS PARA FORNECIMENTO DE MATERIAIS E EQUIPAMENTOS</t>
  </si>
  <si>
    <t>T</t>
  </si>
  <si>
    <t>BDI PARA MATERIAIS CF ACÓRDÃO TCU 2622/2013</t>
  </si>
  <si>
    <t>*Contribuição Previdenciária  sobre Receita Bruta</t>
  </si>
  <si>
    <t>70190008</t>
  </si>
  <si>
    <t>70190145</t>
  </si>
  <si>
    <t>Sub-base em brita ou macadame hidráulico (B)</t>
  </si>
  <si>
    <t>70090091</t>
  </si>
  <si>
    <t>70090095</t>
  </si>
  <si>
    <t>COMPOSIÇÃO BDI</t>
  </si>
  <si>
    <t xml:space="preserve">                              Projeto de Setorização</t>
  </si>
  <si>
    <t xml:space="preserve">                               Memorial de Cálculo de Quantitativos</t>
  </si>
  <si>
    <t>Mão de Obra</t>
  </si>
  <si>
    <t>Equipe por Intervenção</t>
  </si>
  <si>
    <t>Tubulação executada por dia trabalhado</t>
  </si>
  <si>
    <t>Total de Dias Trabalhados</t>
  </si>
  <si>
    <t>m/dia</t>
  </si>
  <si>
    <t>dias</t>
  </si>
  <si>
    <t>h</t>
  </si>
  <si>
    <t>Engenheiro</t>
  </si>
  <si>
    <t>Encarregado</t>
  </si>
  <si>
    <t>Equipe p/Dia</t>
  </si>
  <si>
    <t>Totais</t>
  </si>
  <si>
    <t>Encanador</t>
  </si>
  <si>
    <t>Ajudante</t>
  </si>
  <si>
    <t>TOTAIS</t>
  </si>
  <si>
    <t>97636</t>
  </si>
  <si>
    <t>Armação em Aço CA-50</t>
  </si>
  <si>
    <t>unid.</t>
  </si>
  <si>
    <t>Concreto Estrutural, Fck=25,0MPa</t>
  </si>
  <si>
    <t>Fôrma de Madeira - Comum</t>
  </si>
  <si>
    <t>UNID.</t>
  </si>
  <si>
    <t>70090093</t>
  </si>
  <si>
    <t>Operador</t>
  </si>
  <si>
    <t>1.2</t>
  </si>
  <si>
    <t>1.3</t>
  </si>
  <si>
    <t>mês</t>
  </si>
  <si>
    <t>1.4</t>
  </si>
  <si>
    <t>PLANILHA ORÇAMENTÁRIA</t>
  </si>
  <si>
    <t>pç.</t>
  </si>
  <si>
    <t>kg</t>
  </si>
  <si>
    <t>DADOS GERAIS</t>
  </si>
  <si>
    <r>
      <t>PLANILHA DE COMPOSIÇÃO DO BDI - OBRAS DE ÁGUA E ESGOTO CONFORME</t>
    </r>
    <r>
      <rPr>
        <b/>
        <sz val="12"/>
        <color rgb="FFFFFF00"/>
        <rFont val="Arial"/>
        <family val="2"/>
        <charset val="1"/>
      </rPr>
      <t xml:space="preserve"> </t>
    </r>
    <r>
      <rPr>
        <b/>
        <sz val="12"/>
        <rFont val="Arial"/>
        <family val="2"/>
        <charset val="1"/>
      </rPr>
      <t>ACÓRDÃO TCU 2622/2013</t>
    </r>
  </si>
  <si>
    <r>
      <t xml:space="preserve">BDI = </t>
    </r>
    <r>
      <rPr>
        <b/>
        <u/>
        <sz val="8"/>
        <rFont val="Arial"/>
        <family val="2"/>
        <charset val="1"/>
      </rPr>
      <t>(1+AC+S+G+R)*(1+DF)*(1+L)</t>
    </r>
    <r>
      <rPr>
        <b/>
        <sz val="8"/>
        <rFont val="Arial"/>
        <family val="2"/>
        <charset val="1"/>
      </rPr>
      <t xml:space="preserve"> - 1</t>
    </r>
  </si>
  <si>
    <t>QUANT.</t>
  </si>
  <si>
    <t>PREÇO UNIT.   (R$)</t>
  </si>
  <si>
    <t>VALOR R$</t>
  </si>
  <si>
    <t>PREÇO TOTAL (R$)</t>
  </si>
  <si>
    <t xml:space="preserve">                          Intervenções x (2 x Largura da Intervenção + 2 x Comprimento da Intervenção) .................</t>
  </si>
  <si>
    <t xml:space="preserve">                                    Intervenções x Largura da Intervenção x Comprimento da Intervenção ......................</t>
  </si>
  <si>
    <t xml:space="preserve">                                        Camada (Esp. 15,0cm) .............................................................................................</t>
  </si>
  <si>
    <t>Superfície de Pintura = Quantidade de Intervenções x Área da Intervenção x 1 Camada ...........................</t>
  </si>
  <si>
    <t>Ela é dividida em 5 serviços gerais conforme detalhado abaixo:</t>
  </si>
  <si>
    <t>1 - Serviços Preliminares</t>
  </si>
  <si>
    <t>UNIDADE</t>
  </si>
  <si>
    <t>Esta planilha consiste em um modelo de orçamento já preenchido para execução de redes de distribuição de água e intervenções para setorização.</t>
  </si>
  <si>
    <t>2 - Fornecimento de Materias</t>
  </si>
  <si>
    <t>3 - Sinalização, preparação do solo, abertura de valas, compactação e recomposição do pavimento</t>
  </si>
  <si>
    <t>Consiste nos serviços de escavação, preparo e recomposição de vala e intevenções.</t>
  </si>
  <si>
    <t>Consiste nos serviços de mobilização, canterios de obras, levantamento inicial e demais serviços que se inicia primeiramente, e que dão suporte para execução dos serviços posteriores.</t>
  </si>
  <si>
    <t>INSTRUÇÕES DE USO</t>
  </si>
  <si>
    <t>Vale ressaltar que os itens foram preenchidos como sugestão, e deverão ser ajustados conforme a necessidade de cada projeto. Importante ainda que sempre deve-se realizar a atualização dos custos apresentados pelas planilhas SABESP e SINAPI.</t>
  </si>
  <si>
    <t>Largura (m)</t>
  </si>
  <si>
    <t>Importante: Os quantitativos deverão ser preenchidos na aba de Memorial de Quantitativos:</t>
  </si>
  <si>
    <t>Na aba Memorial Quantitativos deverá ser preenchido a Tabela I - Dados gerais das tubulações projetadas, conforme figura abaixo. As células na coloração amarela deverão ser preenchidas, com as informações de diametros nominais e externos das redes, extensão das redes, profundidade média da vala e largura da vala. Na linha de intervenções, refere-se a ações pontuais para realizar setorização da rede de bastecimento, assim, deve-se preencher a quantidade, largura, comprimento e profundidade da intervenção. As demais células realizarão os cálculos de quantitativos</t>
  </si>
  <si>
    <t xml:space="preserve">Dica: </t>
  </si>
  <si>
    <t>3 - Serviços Hidráulicos</t>
  </si>
  <si>
    <t>Consiste nos serviços de mão de obra para execução e fiscalização da rede e intervenções hidráulicas. Vale salientar que essa mão-de-obra se refere às intalações hidráulicas, os serviços de escavação e recomposição de vala já foram computados no item 2.</t>
  </si>
  <si>
    <t>01 - Caso seja necessário a inserção de novas linhas nos itens asfalto, canteiro ou passeio para cadastrar novas redes, tomar o cuidado de inserir dentro do intervalo, ou seja no centro das linhas existentes e não nos extremos, de modo que não interfira no intervalo de seleção das fórmulas de cálculo das planilhas.</t>
  </si>
  <si>
    <t>02 - Na aba Memorial de Quantitativos, nos itens de sinalização de segurança e escoramento de vala, deve-se preencher as células que estão descriminando taxa de reaproveitamento para utilizar o coeficiente desejado.</t>
  </si>
  <si>
    <t>03 - Caso necessário alterar algum coeficiente dos cálculo, deve-se alterar o código fonte das fórmulas de cálculo dos quantitatvios na aba Memorial de Quantitativos.</t>
  </si>
  <si>
    <t>01 - Assim como no item 02 (Sinalização, preparação do solo, abertura de valas, compactação e recomposição do pavimento) os quantitativos são calculados automaticamente na aba de memorial de quantitativos. Foi conisderado uma produção de 50,00m de rede por dia de trabalho pela mão de obra, caso necessário, o coeficiente poderá ser ajustado para cada caso. Foi preenchido ainda uma carga horária de equipe necessária para execução dos serviços. Ambos os dados poderão ser alterados conforme as células destacadas em amarelo abaixo:</t>
  </si>
  <si>
    <t>Serviços Finais</t>
  </si>
  <si>
    <t>5 - Serviços Finais</t>
  </si>
  <si>
    <t>Consiste nos serviços finais da obra, como limpeza final, levantamentos adicionais, as-built, entre outros.</t>
  </si>
  <si>
    <t>Observação</t>
  </si>
  <si>
    <t>Consiste no lançamento dos materiais hidráulicos necessários para execução das redes e intervenções. Vale ressaltar que os serviços de montagem não estarão inclusos nesse item.</t>
  </si>
  <si>
    <t>04 - Foi cadastrato automaticamente o cálculo de volume de terra ocupado pela tubulação assentada, sendo descriminada em uma tabela abaixo da tabela I, sendo cadastrado um diametro de até DN=350mm, caso necessários pode-se inserir novos diametros.</t>
  </si>
  <si>
    <t>Dispositivo de proteção para registro com assentamento de tampa T-5, sem fornecimento</t>
  </si>
  <si>
    <t>HM01366</t>
  </si>
  <si>
    <t>Trator de pneus, Potência 85 CV, Tração 4X4, peso com lastro de 4.675  KG  (Limpeza mecanizada da área de implantação do canteiro)</t>
  </si>
  <si>
    <t>Locação de Container 2,30 X 6,00 m, Alt. 2,50 m, com 1 sanitário, para escritório, completo, sem divisórias internas (não inclui mobilização/desmobilização)</t>
  </si>
  <si>
    <t>Locação de container 2,30 X 4,30 m, Alt. 2,50 m, p/ sanitário, c/ 5 Bacias, 1 lavatório e 4 mictórios (não inclui mobilização/desmobilização)</t>
  </si>
  <si>
    <t>Entrada de energia elétrica, aérea, trifásica, com caixa de sobrepor, cabo de 10 mm² e disjuntor DIN 50 A (não incluso o poste de concreto) - incluso o assentamento</t>
  </si>
  <si>
    <t>Poste de concreto duplo T, tipo B, 300 KG, H = 9 m (NBR 8451)</t>
  </si>
  <si>
    <t>Placa de identificação de obras</t>
  </si>
  <si>
    <t>Sinalização</t>
  </si>
  <si>
    <t>Carga Horária = Quant. de Intervenções x 10 horas (Meio período/intervenção) ..........................................</t>
  </si>
  <si>
    <t>Retroescavadeira sobre rodas com carregadeira, Tração 4X4, Potência LÍQ. 88 HP, Caçamba Carreg. Cap. Mín. 1 m³, Caçamba Retro Cap. 0,26 m³, peso operacional mín. 6.674 KG, profundidade de escavação máx. 4,37 m</t>
  </si>
  <si>
    <t>CHP</t>
  </si>
  <si>
    <t>CHI</t>
  </si>
  <si>
    <t>Luva de Correr, PVC PBA, JE, DN 50 / DE 60 mm, Para Rede Água (NBR 10351)</t>
  </si>
  <si>
    <t>Tubo PVC PBA JEI, Classe 20, DN 50 mm, Para Rede de Água (NBR 5647)</t>
  </si>
  <si>
    <t>Comercial</t>
  </si>
  <si>
    <t>Válvula Gaveta c/ Bolsas JGS Ferro Fundido DN=50 mm, Acion. Cabeçote, Cunha de Borracha, Pintura Epóxi EM PÓ NBR 14968 Água/Esgoto</t>
  </si>
  <si>
    <t>Tubo PVC DEFOFO, JEI, 1 MPA, DN 200 mm, para rede de água (NBR 7665) (Acesso aos registros)</t>
  </si>
  <si>
    <t>Ancoragem em Pontalete de Madeira DN50, 80 e 100 mm</t>
  </si>
  <si>
    <t>Área de Limpeza = Comprimento da área do Poço x Largura da área do Poço</t>
  </si>
  <si>
    <t>Poço P08</t>
  </si>
  <si>
    <t>3.1</t>
  </si>
  <si>
    <t>Sub-Total 03</t>
  </si>
  <si>
    <t>Utilizado taxa de reaproveitamento dos          materiais de sinalização</t>
  </si>
  <si>
    <t>=</t>
  </si>
  <si>
    <t>x</t>
  </si>
  <si>
    <t>Comprimento de Sinalização =</t>
  </si>
  <si>
    <t>Sinalização da Extensão da Rede + Sinalização das Intervenções</t>
  </si>
  <si>
    <t>+</t>
  </si>
  <si>
    <t>Área de Demolição = Largura de Corte x Extensão da Rede ........................................................................</t>
  </si>
  <si>
    <t>Utilizado taxa de reaproveitamento do escoramento</t>
  </si>
  <si>
    <t>Profundidade Média da Vala</t>
  </si>
  <si>
    <t>Volume do Lastro = Área da Vala x Espessura Lastro (Esp. 10,0cm) .........................................................</t>
  </si>
  <si>
    <t>Volume da Sub-Base = Área da Vala x Espessura da Camada (Esp. 15,0cm) ..........................................</t>
  </si>
  <si>
    <t>Superfície de Pintura = Área de Corte x 1 Camada = Exten. da Rede x Largura de Corte ........................</t>
  </si>
  <si>
    <t>4.1</t>
  </si>
  <si>
    <t>4.2</t>
  </si>
  <si>
    <t>Locação de redes de água</t>
  </si>
  <si>
    <t>4.3</t>
  </si>
  <si>
    <t>Lastro de vala com preparo de fundo, largura menor que 1,50m, com camada de areia, lançamento manual, em local com nível alto de interferência</t>
  </si>
  <si>
    <t>Carga horária = Extensão de rede / Produtividade estimada (50m/dia) x 10 horas (À Disposição) ...........</t>
  </si>
  <si>
    <t>Adaptador PVC/PBA Ferro Fundido DE=110 mm * (6,40 kg) ligar ponta tubo PVC c/ bolsa tubo Ferro Fundido - pintura epóxi NBR 15880 água</t>
  </si>
  <si>
    <t>Adaptador PVC/PBA Ferro Fundido DE=85 mm * (3,70 kg) ligar ponta tubo PVC c/bolsa tubo Ferro Fundido - pintura epóxi NBR 15880 água</t>
  </si>
  <si>
    <t>Curva PVC PBA, JE, PB, 90 graus, DN 75 / de 85 mm, para rede agua (NBR 10351)</t>
  </si>
  <si>
    <t>Extremidade Ponta - Flange PN10/16 Ferro Fundido DN=150 mm L=380 mm * (17,70 KG) Pintura Betuminosa - Acessórios não inclusos NBR 7675 Água</t>
  </si>
  <si>
    <t>Luva de correr com bolsas junta mecânica Ferro Fundido DN=150 mm * (27,56 kg) pintura betuminosa c/acessórios inclusos NBR 7675 água</t>
  </si>
  <si>
    <t>HM03219</t>
  </si>
  <si>
    <t>Luva de correr, PVC PBA, JE, DN50 / de 60 mm, para rede agua (NBR 10351)</t>
  </si>
  <si>
    <t>Luva de correr, PVC PBA, JE, DN75 / de 85 mm, para rede agua (NBR 10351)</t>
  </si>
  <si>
    <t>HM03318</t>
  </si>
  <si>
    <t>Redução concêntrica com flanges PN10/16 Ferro Fundido DN=150 x 100 mm * (15,50 kg) pintura betuminosa, acessórios não inclusos NBR 7675 água</t>
  </si>
  <si>
    <t>Redução concêntrica com flanges PN10/16 Ferro Fundido DN=150 x 80 mm * (25,60 kg) pintura betuminosa, acessórios não inclusos NBR 7675 água</t>
  </si>
  <si>
    <t>HM03319</t>
  </si>
  <si>
    <t>Redução PVC PBA, JE, PB, DN 100 X 50 / DE 110 X 60 mm, para rede de água</t>
  </si>
  <si>
    <t>CAP, PVC PBA, JE, DN 75 / DE 85 mm, Para Rede de água (NBR 10351)</t>
  </si>
  <si>
    <t>Tê com Bolsas JE2GS Ferro Fundido DN=150 X 150 mm * (29,70 KG) Pintura Betuminosa, anéis de borracha inclusos NBR 7675 água</t>
  </si>
  <si>
    <t>HM03420</t>
  </si>
  <si>
    <t>Tê, PVC PBA, BBB, 90 Graus, DN 75 / DE 85 mm, para rede de água (NBR 10351)</t>
  </si>
  <si>
    <t>Tê de Redução, PVC PBA, BBB, JE, DN 100 X 75 / DE 110 X 85 mm, para rede de água (NBR10351)</t>
  </si>
  <si>
    <t>Tê, PVC PBA, BBB, 90 Graus, DN 100 / DE 110 mm, para rede de água (NBR 10351)</t>
  </si>
  <si>
    <t>Tê, PVC PBA, BBB, 90 Graus, DN 50 / DE 60 mm, para rede de água (NBR 10351)</t>
  </si>
  <si>
    <t>Tubo PVC DEFOFO, JEI, 1 MPA, DN 150 mm, para rede de água (NBR 7665)</t>
  </si>
  <si>
    <t>Tubo PVC PBA JEI, Classe 20, DN 100 mm, para rede de água (NBR 5647)</t>
  </si>
  <si>
    <t>Tubo PVC PBA JEI, Classe 20, DN 50 mm, para rede de água (NBR 5647)</t>
  </si>
  <si>
    <t>Tubo PVC PBA JEI, Classe 20, DN 75 mm, para rede de água (NBR 5647)</t>
  </si>
  <si>
    <t>Válvula Gaveta c/ Flanges PN10/16 Ferro Fundido DN=150 mm (33,00 KG), Acion. Cabeçote, cunha de borracha, métrica chata, pintura epóxi em pó NBR 14968 Água/Esgoto</t>
  </si>
  <si>
    <t>HM07080</t>
  </si>
  <si>
    <t>HM04256</t>
  </si>
  <si>
    <t>HM04255</t>
  </si>
  <si>
    <t>HM03101</t>
  </si>
  <si>
    <t>Intervenções fora do traçado da rede</t>
  </si>
  <si>
    <t>Pedreiro com encargos complementares</t>
  </si>
  <si>
    <t>Aj. de Pedreiro com encargos complementares</t>
  </si>
  <si>
    <t>Ancoragem em concreto p/ peças DN150 mm</t>
  </si>
  <si>
    <t>Área de Limpeza = Largura da vala x Comprimento da Vala x Nº de Intervenções................................................................................</t>
  </si>
  <si>
    <t>Pedreiro</t>
  </si>
  <si>
    <t>Aux. de Pedreiro</t>
  </si>
  <si>
    <t>GB</t>
  </si>
  <si>
    <t>Sub-Total 04</t>
  </si>
  <si>
    <t>5.1</t>
  </si>
  <si>
    <t>5.2</t>
  </si>
  <si>
    <t>5.3</t>
  </si>
  <si>
    <t>5.4</t>
  </si>
  <si>
    <t>5.5</t>
  </si>
  <si>
    <t>5.6</t>
  </si>
  <si>
    <t>5.7</t>
  </si>
  <si>
    <t>5.8</t>
  </si>
  <si>
    <t>5.9</t>
  </si>
  <si>
    <t>5.10</t>
  </si>
  <si>
    <t>5.11</t>
  </si>
  <si>
    <t>Sinalização de Segurança</t>
  </si>
  <si>
    <t>Sinalização das Intervenções</t>
  </si>
  <si>
    <t>Tabela I - Dados gerais das Intervenções</t>
  </si>
  <si>
    <t>Válvula Gaveta c/ Bolsas JGS Ferro Fundido DN=50 mm, Acion. Cabeçote, Cunha de Borracha, Pintura Epóxi em pó NBR 14968 Água/Esgoto</t>
  </si>
  <si>
    <t>CAP, PVC PBA, JE, DN 75 / DE 85 mm, para rede de água (NBR 10351)</t>
  </si>
  <si>
    <t>CAP, PVC PBA, JE, DN 50 / DE 60 mm, para rede de água (NBR 10351)</t>
  </si>
  <si>
    <t>Sub-Total 05</t>
  </si>
  <si>
    <t>6.1</t>
  </si>
  <si>
    <t>Adaptador de grande tolerância DN 100</t>
  </si>
  <si>
    <t>Sub-Total 06</t>
  </si>
  <si>
    <t>pç</t>
  </si>
  <si>
    <t>Válvula de Gaveta com Flanges PN10/16 Ferro Fundido DN=100 mm (20,00 Kg), acion. cabeçote cunha de borracha, métrica chata, pintura epóxi em pó NBR 14968 água/esgoto</t>
  </si>
  <si>
    <t>HM07079</t>
  </si>
  <si>
    <t>4.1.1</t>
  </si>
  <si>
    <t>4.1.2</t>
  </si>
  <si>
    <t>4.2.1</t>
  </si>
  <si>
    <t>4.3.1</t>
  </si>
  <si>
    <t>Reservatório Cocaja II, vol. 200 m³ H=20,00 m</t>
  </si>
  <si>
    <t>area</t>
  </si>
  <si>
    <t>volume</t>
  </si>
  <si>
    <t>altura</t>
  </si>
  <si>
    <t>diametro</t>
  </si>
  <si>
    <t>Perímetro</t>
  </si>
  <si>
    <t>Área de chapa</t>
  </si>
  <si>
    <t>Peso /m²</t>
  </si>
  <si>
    <t>Kg/m²</t>
  </si>
  <si>
    <t>Peso do Reservatório</t>
  </si>
  <si>
    <t>Kg</t>
  </si>
  <si>
    <t>Valor Kg</t>
  </si>
  <si>
    <t>Custo total</t>
  </si>
  <si>
    <t>5.7.1</t>
  </si>
  <si>
    <t>7.1</t>
  </si>
  <si>
    <t>7.2</t>
  </si>
  <si>
    <t>Sub-Total 07</t>
  </si>
  <si>
    <t>8.1</t>
  </si>
  <si>
    <t>8.2</t>
  </si>
  <si>
    <t>8.3</t>
  </si>
  <si>
    <t>8.4</t>
  </si>
  <si>
    <t>8.5</t>
  </si>
  <si>
    <t>8.6</t>
  </si>
  <si>
    <t>8.7</t>
  </si>
  <si>
    <t>8.8</t>
  </si>
  <si>
    <t>8.9</t>
  </si>
  <si>
    <t>8.10</t>
  </si>
  <si>
    <t>Sub-Total 08</t>
  </si>
  <si>
    <t>9.1</t>
  </si>
  <si>
    <t>Sub-Total 09</t>
  </si>
  <si>
    <t>9.2</t>
  </si>
  <si>
    <t>9.3</t>
  </si>
  <si>
    <t>10.1</t>
  </si>
  <si>
    <t>10.2</t>
  </si>
  <si>
    <t>10.3</t>
  </si>
  <si>
    <t>10.4</t>
  </si>
  <si>
    <t>Junta Gibault Ferro Fundido DN 50mm</t>
  </si>
  <si>
    <t>Sub-Total 10</t>
  </si>
  <si>
    <t>Setor 09 - Vila Nova</t>
  </si>
  <si>
    <t>11.1</t>
  </si>
  <si>
    <t>Sub-Total 11</t>
  </si>
  <si>
    <t>Setor 10 - Conego Nazareno I</t>
  </si>
  <si>
    <t>12.1</t>
  </si>
  <si>
    <t>Sub-Total 12</t>
  </si>
  <si>
    <t>13.1</t>
  </si>
  <si>
    <t>13.2</t>
  </si>
  <si>
    <t>13.3</t>
  </si>
  <si>
    <t>Luva de Correr, PVC PBA, JE, DN 100 / DE 110 mm, para rede de água (NBR 10351)</t>
  </si>
  <si>
    <t>Luva de Correr, PVC PBA, JE, DN 50 / DE 60 mm, para rede de água (NBR 10351)</t>
  </si>
  <si>
    <t>Sub-Total 13</t>
  </si>
  <si>
    <t>14.1</t>
  </si>
  <si>
    <t>Sub-Total 14</t>
  </si>
  <si>
    <t>3.2</t>
  </si>
  <si>
    <t>TOTAL GERAL</t>
  </si>
  <si>
    <t>Fornecimento e Montagem de Reservatório Metálico 200 m³ - Apoiado, H = 20,00 m</t>
  </si>
  <si>
    <t xml:space="preserve">Costado 1 anel de </t>
  </si>
  <si>
    <t>Fundo</t>
  </si>
  <si>
    <t>1/4"</t>
  </si>
  <si>
    <t>Teto</t>
  </si>
  <si>
    <t>3/16"</t>
  </si>
  <si>
    <t>4 anéis de</t>
  </si>
  <si>
    <t xml:space="preserve">1 anel de </t>
  </si>
  <si>
    <t>Reservatório Estudo 01 - Dados Masaki</t>
  </si>
  <si>
    <t>9.4</t>
  </si>
  <si>
    <t>9.5</t>
  </si>
  <si>
    <t>Reservatório Estudo 02 - Dados Masaki</t>
  </si>
  <si>
    <t>Res. Ø100 mm</t>
  </si>
  <si>
    <t>Costado</t>
  </si>
  <si>
    <t xml:space="preserve">1/4"x1500 </t>
  </si>
  <si>
    <t xml:space="preserve"> 3/16"x1500 </t>
  </si>
  <si>
    <t>3/16"x1200</t>
  </si>
  <si>
    <t>Setor 06 - Estação - Reservatório Vol. 100 m³ H=20,00 m ø2,55 m</t>
  </si>
  <si>
    <t>Setor 07 - Industrial I - Reservatório Vol. 100 m³ H=20,00 m ø2,55 m</t>
  </si>
  <si>
    <t>OBS:</t>
  </si>
  <si>
    <t>Objeto:</t>
  </si>
  <si>
    <t>Sanitário Portátil Químico Individual - Locação</t>
  </si>
  <si>
    <t>EQ04774</t>
  </si>
  <si>
    <t>H</t>
  </si>
  <si>
    <t>Capa de concreto asfáltico (B) (e=5cm)</t>
  </si>
  <si>
    <t xml:space="preserve">                                                       da Camada (5,00cm) .....................................................................................</t>
  </si>
  <si>
    <t>Tampão T5 FoFo DN=100mm com tampa articulada para válvula NTS 033</t>
  </si>
  <si>
    <t>Macromedidor do Poço - Fornecimento e Acessórios</t>
  </si>
  <si>
    <t>3.3</t>
  </si>
  <si>
    <t>Macromedidor do Poço - Instalação</t>
  </si>
  <si>
    <t>Projeto dos Macromedidores</t>
  </si>
  <si>
    <t>3.4</t>
  </si>
  <si>
    <t>3.5</t>
  </si>
  <si>
    <t>3.6</t>
  </si>
  <si>
    <t>3.7</t>
  </si>
  <si>
    <t>3.8</t>
  </si>
  <si>
    <t>3.9</t>
  </si>
  <si>
    <t>Modelagem Matemática dos Setores do Sistema de Distribuição de Água</t>
  </si>
  <si>
    <t>HM03110</t>
  </si>
  <si>
    <t>Extremidade FOFO Ponta Flange PN10 DN 80mm</t>
  </si>
  <si>
    <t>HM03230</t>
  </si>
  <si>
    <t xml:space="preserve">Luva de Correr FOFO com Junta Mecânica DN 80mm </t>
  </si>
  <si>
    <t>HM01304</t>
  </si>
  <si>
    <t>Acessórios para Flange PN10 DN 80mm</t>
  </si>
  <si>
    <t>Arruela de Borracha DN 80mm</t>
  </si>
  <si>
    <t>HM07301</t>
  </si>
  <si>
    <t>4.2.2</t>
  </si>
  <si>
    <t>4.2.3</t>
  </si>
  <si>
    <t>4.2.4</t>
  </si>
  <si>
    <t>4.2.5</t>
  </si>
  <si>
    <t>4.3.2</t>
  </si>
  <si>
    <t>4.3.3</t>
  </si>
  <si>
    <t>4.3.4</t>
  </si>
  <si>
    <t>5.1.1</t>
  </si>
  <si>
    <t>5.1.2</t>
  </si>
  <si>
    <t>5.2.1</t>
  </si>
  <si>
    <t>5.2.2</t>
  </si>
  <si>
    <t>5.2.3</t>
  </si>
  <si>
    <t>5.2.4</t>
  </si>
  <si>
    <t>5.2.5</t>
  </si>
  <si>
    <t>5.2.6</t>
  </si>
  <si>
    <t>5.2.7</t>
  </si>
  <si>
    <t>5.2.8</t>
  </si>
  <si>
    <t>5.2.9</t>
  </si>
  <si>
    <t>5.3.1</t>
  </si>
  <si>
    <t>5.3.2</t>
  </si>
  <si>
    <t>5.3.3</t>
  </si>
  <si>
    <t>5.4.1</t>
  </si>
  <si>
    <t>5.4.2</t>
  </si>
  <si>
    <t>5.4.3</t>
  </si>
  <si>
    <t>5.4.4</t>
  </si>
  <si>
    <t>5.4.5</t>
  </si>
  <si>
    <t>5.4.6</t>
  </si>
  <si>
    <t>5.5.1</t>
  </si>
  <si>
    <t>5.6.1</t>
  </si>
  <si>
    <t>5.6.2</t>
  </si>
  <si>
    <t>5.6.3</t>
  </si>
  <si>
    <t>5.6.4</t>
  </si>
  <si>
    <t>5.8.1</t>
  </si>
  <si>
    <t>Manutenção Captação - Laje de Proteção do Poço</t>
  </si>
  <si>
    <t>5.9.1</t>
  </si>
  <si>
    <t>4.4</t>
  </si>
  <si>
    <t>Aferição e Calibração do Macromedidor com Medidor Ultrassônico Portátil</t>
  </si>
  <si>
    <t>4.4.1</t>
  </si>
  <si>
    <t>4.4.2</t>
  </si>
  <si>
    <t>4.4.3</t>
  </si>
  <si>
    <t>5.10.1</t>
  </si>
  <si>
    <t>5.11.1</t>
  </si>
  <si>
    <t>5.11.2</t>
  </si>
  <si>
    <t>5.11.3</t>
  </si>
  <si>
    <t>5.10.2</t>
  </si>
  <si>
    <t>5.10.3</t>
  </si>
  <si>
    <t>5.10.4</t>
  </si>
  <si>
    <t>5.10.5</t>
  </si>
  <si>
    <t>5.9.2</t>
  </si>
  <si>
    <t>5.9.3</t>
  </si>
  <si>
    <t>5.9.4</t>
  </si>
  <si>
    <t>5.9.5</t>
  </si>
  <si>
    <t>Preparação do solo, abertura de valas, compactação e recomposição do pavimento</t>
  </si>
  <si>
    <t>6.1.1</t>
  </si>
  <si>
    <t>6.2</t>
  </si>
  <si>
    <t>6.2.1</t>
  </si>
  <si>
    <t>6.2.2</t>
  </si>
  <si>
    <t>6.3</t>
  </si>
  <si>
    <t>6.3.1</t>
  </si>
  <si>
    <t>6.3.2</t>
  </si>
  <si>
    <t>6.3.3</t>
  </si>
  <si>
    <t>6.3.4</t>
  </si>
  <si>
    <t>6.3.5</t>
  </si>
  <si>
    <t>6.3.6</t>
  </si>
  <si>
    <t>6.3.7</t>
  </si>
  <si>
    <t>6.3.8</t>
  </si>
  <si>
    <t>6.3.9</t>
  </si>
  <si>
    <t>6.3.10</t>
  </si>
  <si>
    <t>6.3.11</t>
  </si>
  <si>
    <t>6.4</t>
  </si>
  <si>
    <t>6.4.1</t>
  </si>
  <si>
    <t>6.4.2</t>
  </si>
  <si>
    <t>6.4.3</t>
  </si>
  <si>
    <t>6.4.4</t>
  </si>
  <si>
    <t>6.4.5</t>
  </si>
  <si>
    <t>6.4.6</t>
  </si>
  <si>
    <t>6.4.7</t>
  </si>
  <si>
    <t>6.4.8</t>
  </si>
  <si>
    <t>6.4.9</t>
  </si>
  <si>
    <t>6.5</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</si>
  <si>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</si>
  <si>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</si>
  <si>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</si>
  <si>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</si>
  <si>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</si>
  <si>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</si>
  <si>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</si>
  <si>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</si>
  <si>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</si>
  <si>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</si>
  <si>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</si>
  <si>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</si>
  <si>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</si>
  <si>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</si>
  <si>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</si>
  <si>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</si>
  <si>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</si>
  <si>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</si>
  <si>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</si>
  <si>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</si>
  <si>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</si>
  <si>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</si>
  <si>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6.6</t>
  </si>
  <si>
    <t>6.6.1</t>
  </si>
  <si>
    <t>6.6.2</t>
  </si>
  <si>
    <t>6.6.3</t>
  </si>
  <si>
    <t>6.6.4</t>
  </si>
  <si>
    <t>6.6.5</t>
  </si>
  <si>
    <t>6.6.6</t>
  </si>
  <si>
    <t>6.7</t>
  </si>
  <si>
    <t>6.7.1</t>
  </si>
  <si>
    <t>6.7.2</t>
  </si>
  <si>
    <t>6.8</t>
  </si>
  <si>
    <t>6.8.1</t>
  </si>
  <si>
    <t>6.8.2</t>
  </si>
  <si>
    <t>6.8.3</t>
  </si>
  <si>
    <t>6.8.4</t>
  </si>
  <si>
    <t>6.8.5</t>
  </si>
  <si>
    <t>6.8.6</t>
  </si>
  <si>
    <t>6.9</t>
  </si>
  <si>
    <t>6.9.1</t>
  </si>
  <si>
    <t>6.10</t>
  </si>
  <si>
    <t>6.10.1</t>
  </si>
  <si>
    <t>6.10.2</t>
  </si>
  <si>
    <t>6.11</t>
  </si>
  <si>
    <t>6.11.1</t>
  </si>
  <si>
    <t>6.11.2</t>
  </si>
  <si>
    <t>6.11.3</t>
  </si>
  <si>
    <t>6.11.4</t>
  </si>
  <si>
    <t>6.11.5</t>
  </si>
  <si>
    <t>6.12</t>
  </si>
  <si>
    <t>6.12.1</t>
  </si>
  <si>
    <t>6.12.2</t>
  </si>
  <si>
    <t>6.12.3</t>
  </si>
  <si>
    <t>6.12.4</t>
  </si>
  <si>
    <t>6.12.5</t>
  </si>
  <si>
    <t>6.13</t>
  </si>
  <si>
    <t>6.13.1</t>
  </si>
  <si>
    <t>6.13.2</t>
  </si>
  <si>
    <t>6.13.3</t>
  </si>
  <si>
    <t>7.1.1</t>
  </si>
  <si>
    <t>7.1.2</t>
  </si>
  <si>
    <t>7.1.3</t>
  </si>
  <si>
    <t>7.1.4</t>
  </si>
  <si>
    <t>7.1.5</t>
  </si>
  <si>
    <t>7.2.1</t>
  </si>
  <si>
    <t>7.2.2</t>
  </si>
  <si>
    <t>7.2.3</t>
  </si>
  <si>
    <t>7.2.4</t>
  </si>
  <si>
    <t>7.2.5</t>
  </si>
  <si>
    <t>8.3.1</t>
  </si>
  <si>
    <t>8.3.2</t>
  </si>
  <si>
    <t>8.3.3</t>
  </si>
  <si>
    <t>8.1.1</t>
  </si>
  <si>
    <t>8.1.2</t>
  </si>
  <si>
    <t>8.2.1</t>
  </si>
  <si>
    <t>8.4.1</t>
  </si>
  <si>
    <t>8.5.1</t>
  </si>
  <si>
    <t>8.6.1</t>
  </si>
  <si>
    <t>8.7.1</t>
  </si>
  <si>
    <t>8.9.1</t>
  </si>
  <si>
    <t>8.10.1</t>
  </si>
  <si>
    <t>8.2.2</t>
  </si>
  <si>
    <t>8.2.3</t>
  </si>
  <si>
    <t>8.2.4</t>
  </si>
  <si>
    <t>8.2.5</t>
  </si>
  <si>
    <t>8.2.6</t>
  </si>
  <si>
    <t>8.2.7</t>
  </si>
  <si>
    <t>8.2.8</t>
  </si>
  <si>
    <t>8.2.9</t>
  </si>
  <si>
    <t>8.3.4</t>
  </si>
  <si>
    <t>8.3.5</t>
  </si>
  <si>
    <t>8.3.6</t>
  </si>
  <si>
    <t>8.3.7</t>
  </si>
  <si>
    <t>8.3.8</t>
  </si>
  <si>
    <t>8.3.9</t>
  </si>
  <si>
    <t>8.3.10</t>
  </si>
  <si>
    <t>8.4.2</t>
  </si>
  <si>
    <t>8.4.3</t>
  </si>
  <si>
    <t>8.4.4</t>
  </si>
  <si>
    <t>8.4.5</t>
  </si>
  <si>
    <t>8.4.6</t>
  </si>
  <si>
    <t>8.6.2</t>
  </si>
  <si>
    <t>8.6.3</t>
  </si>
  <si>
    <t>8.6.4</t>
  </si>
  <si>
    <t>8.6.5</t>
  </si>
  <si>
    <t>8.6.6</t>
  </si>
  <si>
    <t>8.9.2</t>
  </si>
  <si>
    <t>8.9.3</t>
  </si>
  <si>
    <t>8.9.4</t>
  </si>
  <si>
    <t>8.9.5</t>
  </si>
  <si>
    <t>8.10.2</t>
  </si>
  <si>
    <t>8.10.3</t>
  </si>
  <si>
    <t>9.2.1</t>
  </si>
  <si>
    <t>9.3.1</t>
  </si>
  <si>
    <t>9.4.1</t>
  </si>
  <si>
    <t>9.5.1</t>
  </si>
  <si>
    <t>9.6</t>
  </si>
  <si>
    <t>9.6.1</t>
  </si>
  <si>
    <t>9.7</t>
  </si>
  <si>
    <t>9.7.1</t>
  </si>
  <si>
    <t>9.8</t>
  </si>
  <si>
    <t>9.8.1</t>
  </si>
  <si>
    <t>9.1.1</t>
  </si>
  <si>
    <t>9.1.2</t>
  </si>
  <si>
    <t>9.2.2</t>
  </si>
  <si>
    <t>9.2.3</t>
  </si>
  <si>
    <t>9.2.4</t>
  </si>
  <si>
    <t>9.2.5</t>
  </si>
  <si>
    <t>9.2.6</t>
  </si>
  <si>
    <t>9.2.7</t>
  </si>
  <si>
    <t>9.2.8</t>
  </si>
  <si>
    <t>9.2.9</t>
  </si>
  <si>
    <t>9.3.2</t>
  </si>
  <si>
    <t>9.4.2</t>
  </si>
  <si>
    <t>9.4.3</t>
  </si>
  <si>
    <t>9.4.4</t>
  </si>
  <si>
    <t>9.4.5</t>
  </si>
  <si>
    <t>9.4.6</t>
  </si>
  <si>
    <t>9.6.2</t>
  </si>
  <si>
    <t>9.6.3</t>
  </si>
  <si>
    <t>9.6.4</t>
  </si>
  <si>
    <t>9.6.5</t>
  </si>
  <si>
    <t>9.6.6</t>
  </si>
  <si>
    <t>9.8.2</t>
  </si>
  <si>
    <t>9.9</t>
  </si>
  <si>
    <t>9.9.1</t>
  </si>
  <si>
    <t>9.10</t>
  </si>
  <si>
    <t>9.10.1</t>
  </si>
  <si>
    <t>9.9.2</t>
  </si>
  <si>
    <t>9.9.3</t>
  </si>
  <si>
    <t>9.9.4</t>
  </si>
  <si>
    <t>9.9.5</t>
  </si>
  <si>
    <t>9.10.2</t>
  </si>
  <si>
    <t>9.10.3</t>
  </si>
  <si>
    <t xml:space="preserve">Manutenção Captação - Laje de Proteção do Poço </t>
  </si>
  <si>
    <t>10.1.1</t>
  </si>
  <si>
    <t>10.2.1</t>
  </si>
  <si>
    <t>10.4.1</t>
  </si>
  <si>
    <t>11.1.1</t>
  </si>
  <si>
    <t>11.1.2</t>
  </si>
  <si>
    <t>11.2</t>
  </si>
  <si>
    <t>11.2.1</t>
  </si>
  <si>
    <t>11.2.2</t>
  </si>
  <si>
    <t>11.3</t>
  </si>
  <si>
    <t>11.3.1</t>
  </si>
  <si>
    <t>11.3.2</t>
  </si>
  <si>
    <t>11.4</t>
  </si>
  <si>
    <t>11.4.1</t>
  </si>
  <si>
    <t>11.4.2</t>
  </si>
  <si>
    <t>11.5</t>
  </si>
  <si>
    <t>11.5.1</t>
  </si>
  <si>
    <t>11.6</t>
  </si>
  <si>
    <t>11.6.1</t>
  </si>
  <si>
    <t>11.7</t>
  </si>
  <si>
    <t>11.7.1</t>
  </si>
  <si>
    <t>11.8</t>
  </si>
  <si>
    <t>11.8.1</t>
  </si>
  <si>
    <t>11.7.2</t>
  </si>
  <si>
    <t>11.7.3</t>
  </si>
  <si>
    <t>11.7.4</t>
  </si>
  <si>
    <t>11.7.5</t>
  </si>
  <si>
    <t>11.8.2</t>
  </si>
  <si>
    <t>11.8.3</t>
  </si>
  <si>
    <t>12.1.1</t>
  </si>
  <si>
    <t>12.1.2</t>
  </si>
  <si>
    <t>12.1.3</t>
  </si>
  <si>
    <t>12.1.4</t>
  </si>
  <si>
    <t>12.1.5</t>
  </si>
  <si>
    <t>12.2</t>
  </si>
  <si>
    <t>12.2.1</t>
  </si>
  <si>
    <t>12.2.2</t>
  </si>
  <si>
    <t>12.2.3</t>
  </si>
  <si>
    <t>12.2.4</t>
  </si>
  <si>
    <t>12.2.5</t>
  </si>
  <si>
    <t>12.3</t>
  </si>
  <si>
    <t>12.3.1</t>
  </si>
  <si>
    <t>12.3.2</t>
  </si>
  <si>
    <t>12.3.3</t>
  </si>
  <si>
    <t>13.1.1</t>
  </si>
  <si>
    <t>13.2.1</t>
  </si>
  <si>
    <t>13.2.2</t>
  </si>
  <si>
    <t>13.2.3</t>
  </si>
  <si>
    <t>13.2.4</t>
  </si>
  <si>
    <t>13.2.5</t>
  </si>
  <si>
    <t>13.3.1</t>
  </si>
  <si>
    <t>13.3.2</t>
  </si>
  <si>
    <t>13.3.3</t>
  </si>
  <si>
    <t>14.1.1</t>
  </si>
  <si>
    <t>14.2</t>
  </si>
  <si>
    <t>14.2.1</t>
  </si>
  <si>
    <t>14.3</t>
  </si>
  <si>
    <t>14.3.1</t>
  </si>
  <si>
    <t>14.3.2</t>
  </si>
  <si>
    <t>14.3.3</t>
  </si>
  <si>
    <t>14.3.4</t>
  </si>
  <si>
    <t>14.3.5</t>
  </si>
  <si>
    <t>14.3.6</t>
  </si>
  <si>
    <t>14.2.2</t>
  </si>
  <si>
    <t>14.2.3</t>
  </si>
  <si>
    <t>14.2.4</t>
  </si>
  <si>
    <t>14.2.5</t>
  </si>
  <si>
    <t>14.2.6</t>
  </si>
  <si>
    <t>14.2.7</t>
  </si>
  <si>
    <t>14.2.8</t>
  </si>
  <si>
    <t>14.2.9</t>
  </si>
  <si>
    <t>14.1.2</t>
  </si>
  <si>
    <t>14.4</t>
  </si>
  <si>
    <t>14.4.1</t>
  </si>
  <si>
    <t>14.4.2</t>
  </si>
  <si>
    <t>14.4.3</t>
  </si>
  <si>
    <t>14.4.4</t>
  </si>
  <si>
    <t>14.4.5</t>
  </si>
  <si>
    <t>14.4.6</t>
  </si>
  <si>
    <t>14.5</t>
  </si>
  <si>
    <t>14.5.1</t>
  </si>
  <si>
    <t>14.6</t>
  </si>
  <si>
    <t>14.6.1</t>
  </si>
  <si>
    <t>14.6.2</t>
  </si>
  <si>
    <t>14.6.3</t>
  </si>
  <si>
    <t>14.6.4</t>
  </si>
  <si>
    <t>14.6.5</t>
  </si>
  <si>
    <t>14.6.6</t>
  </si>
  <si>
    <t>14.7</t>
  </si>
  <si>
    <t>14.7.1</t>
  </si>
  <si>
    <t>Sub-Total 15</t>
  </si>
  <si>
    <t>15.1</t>
  </si>
  <si>
    <t>15.1.1</t>
  </si>
  <si>
    <t>15.2</t>
  </si>
  <si>
    <t>15.2.1</t>
  </si>
  <si>
    <t>15.3</t>
  </si>
  <si>
    <t>15.3.1</t>
  </si>
  <si>
    <t>15.1.2</t>
  </si>
  <si>
    <t>15.1.3</t>
  </si>
  <si>
    <t>15.1.4</t>
  </si>
  <si>
    <t>15.1.5</t>
  </si>
  <si>
    <t>15.2.2</t>
  </si>
  <si>
    <t>15.2.3</t>
  </si>
  <si>
    <t>15.2.4</t>
  </si>
  <si>
    <t>15.2.5</t>
  </si>
  <si>
    <t>15.3.2</t>
  </si>
  <si>
    <t>15.3.3</t>
  </si>
  <si>
    <t>Medição de pressão instantânea no entorno dos setores de abastecimento - Comercial</t>
  </si>
  <si>
    <t>Sub-Total 16</t>
  </si>
  <si>
    <t>4.1.3</t>
  </si>
  <si>
    <t>11.2.3</t>
  </si>
  <si>
    <t>11.2.4</t>
  </si>
  <si>
    <t>11.2.5</t>
  </si>
  <si>
    <t>11.2.6</t>
  </si>
  <si>
    <t>11.2.7</t>
  </si>
  <si>
    <t>11.2.8</t>
  </si>
  <si>
    <t>11.2.9</t>
  </si>
  <si>
    <t>11.4.3</t>
  </si>
  <si>
    <t>11.4.4</t>
  </si>
  <si>
    <t>11.6.2</t>
  </si>
  <si>
    <t>11.6.3</t>
  </si>
  <si>
    <t>11.6.4</t>
  </si>
  <si>
    <t>11.6.5</t>
  </si>
  <si>
    <t>10.2.2</t>
  </si>
  <si>
    <t>10.4.2</t>
  </si>
  <si>
    <t>10.4.3</t>
  </si>
  <si>
    <t>Extremidade FOFO Ponta Flange PN10 DN 50mm</t>
  </si>
  <si>
    <t xml:space="preserve">Luva de Correr FOFO com Junta Mecânica DN 50mm </t>
  </si>
  <si>
    <t>Acessórios para Flange PN10 DN 50mm</t>
  </si>
  <si>
    <t>HM01300</t>
  </si>
  <si>
    <t>HM07300</t>
  </si>
  <si>
    <t>Macromedidor do Poço - Fornecimento e Acessórios - 2 unid.</t>
  </si>
  <si>
    <t>HM03109</t>
  </si>
  <si>
    <t>Extremidade FOFO Ponta Flange PN10 DN 100mm</t>
  </si>
  <si>
    <t>HM03218</t>
  </si>
  <si>
    <t xml:space="preserve">Luva de Correr FOFO com Junta Mecânica DN 100mm </t>
  </si>
  <si>
    <t>Acessórios para Flange PN10 DN 100mm</t>
  </si>
  <si>
    <t>HM01292</t>
  </si>
  <si>
    <t>Arruela de Borracha DN 100mm</t>
  </si>
  <si>
    <t>13.1.2</t>
  </si>
  <si>
    <t>13.1.3</t>
  </si>
  <si>
    <t>13.1.4</t>
  </si>
  <si>
    <t>13.1.5</t>
  </si>
  <si>
    <t>Macromedidor de Vazão DN 50mm</t>
  </si>
  <si>
    <t>Macromedidor de Vazão DN 80mm</t>
  </si>
  <si>
    <t>Macromedidor de vazão DN 80mm</t>
  </si>
  <si>
    <t>Macromedidor de Vazão  DN 50mm</t>
  </si>
  <si>
    <t>Macromedidor de Vazão DN 100mm</t>
  </si>
  <si>
    <t>Macromedidor de Vazão DN 80mm e acessórios</t>
  </si>
  <si>
    <t>Manutenção e Reforma do reservatório metálico</t>
  </si>
  <si>
    <t>Projeto executivo da base e fundações: Perfil de Sondagem, Projeto básico do reservatório metálico; Projeto hidráulico básico do reservatório e das interligações; Elaboração de Memoria de Calculo; Memorial Descritivo; Justificativas Técnicas; Planilha de Orçamento e Cronograma Físico Financeiro.</t>
  </si>
  <si>
    <t>Arruela de Borracha DN 50mm</t>
  </si>
  <si>
    <t>ANÁLISE E ESTUDOS DE VIABILIDADE PARA A IMPLANTAÇÃO DO PROJETO DE SETORIZAÇÃO VISANDO À UTILIZAÇÃO DAS CAPTAÇÕES PROFUNDAS EXISTENTES</t>
  </si>
  <si>
    <t>Masaki Ikeda</t>
  </si>
  <si>
    <t>Responsável Legal</t>
  </si>
  <si>
    <t>CREA nº 5060736633</t>
  </si>
  <si>
    <t>8.10.4</t>
  </si>
  <si>
    <t>8.10.5</t>
  </si>
  <si>
    <t>8.11</t>
  </si>
  <si>
    <t>8.11.1</t>
  </si>
  <si>
    <t>8.11.2</t>
  </si>
  <si>
    <t>8.11.3</t>
  </si>
  <si>
    <t>9.8.3</t>
  </si>
  <si>
    <t>9.8.4</t>
  </si>
  <si>
    <t>9.8.5</t>
  </si>
  <si>
    <t>10.2.3</t>
  </si>
  <si>
    <t>10.2.4</t>
  </si>
  <si>
    <t>10.2.5</t>
  </si>
  <si>
    <t>Redução PVC PBA, JE, PB, DN 75 x 50 / de 85 x 60 mm, para rede de água</t>
  </si>
  <si>
    <t>8.8.1</t>
  </si>
  <si>
    <t>INTERVENÇÕES</t>
  </si>
  <si>
    <t>Serviços Preliminares</t>
  </si>
  <si>
    <t>Locação de adutoras, coletores tronco e interceptores (até Ø500mm)</t>
  </si>
  <si>
    <t>O QUE TEM NO SETOR</t>
  </si>
  <si>
    <t>CAIXA DE INTERVENÇÃO</t>
  </si>
  <si>
    <t>Larg.</t>
  </si>
  <si>
    <t xml:space="preserve">Comp. </t>
  </si>
  <si>
    <t>Prof.</t>
  </si>
  <si>
    <t xml:space="preserve">Largura da vala </t>
  </si>
  <si>
    <t>Prof. Da vala</t>
  </si>
  <si>
    <t>Diâmetro da Rede</t>
  </si>
  <si>
    <t>SERVIÇOS PRELIMINARES</t>
  </si>
  <si>
    <t xml:space="preserve">SINALIZAÇÃO </t>
  </si>
  <si>
    <t>Sinalização total</t>
  </si>
  <si>
    <t>Item</t>
  </si>
  <si>
    <t>Compactação mecanizada, com controle do G.C.&gt;95% - em áreas</t>
  </si>
  <si>
    <t xml:space="preserve">Escoramento Contínuo </t>
  </si>
  <si>
    <t>Execução de passeio cimentado</t>
  </si>
  <si>
    <t>Tubo de PVC rígido DEFoFo, DN= 150mm (DE= 170mm), inclusive conexões - Fornecimento e Mão de Obra p/ Assentamento</t>
  </si>
  <si>
    <t>9.11</t>
  </si>
  <si>
    <t>9.11.1</t>
  </si>
  <si>
    <t>9.12</t>
  </si>
  <si>
    <t>9.12.1</t>
  </si>
  <si>
    <t>9.12.2</t>
  </si>
  <si>
    <t>9.12.3</t>
  </si>
  <si>
    <t>9.12.4</t>
  </si>
  <si>
    <t>9.12.5</t>
  </si>
  <si>
    <t>9.13</t>
  </si>
  <si>
    <t>9.13.1</t>
  </si>
  <si>
    <t>9.14</t>
  </si>
  <si>
    <t>9.14.1</t>
  </si>
  <si>
    <t>9.14.2</t>
  </si>
  <si>
    <t>9.14.3</t>
  </si>
  <si>
    <t>Adutora ø150mm - Trecho de Terra</t>
  </si>
  <si>
    <t>Adutora ø150mm - Trecho c/ Pavimento</t>
  </si>
  <si>
    <t>Adutora ø150mm - Trecho c/ Passeio</t>
  </si>
  <si>
    <t>Total de Adutora ø150 mm</t>
  </si>
  <si>
    <t>9.15</t>
  </si>
  <si>
    <t>9.15.1</t>
  </si>
  <si>
    <t>Quant. (unid.)</t>
  </si>
  <si>
    <t>Tamanho da caixa p/ MACROS</t>
  </si>
  <si>
    <t>Tamanho da Vala p/ rede</t>
  </si>
  <si>
    <t>Largura</t>
  </si>
  <si>
    <t xml:space="preserve">Comprimento </t>
  </si>
  <si>
    <t>Profundidade</t>
  </si>
  <si>
    <t>Média Execução Hidráulica Macros Rua/Passeio</t>
  </si>
  <si>
    <t>Quant.</t>
  </si>
  <si>
    <t>MACRO - trecho s/ pav.</t>
  </si>
  <si>
    <t>DESCRIÇÃO</t>
  </si>
  <si>
    <t>FONTE</t>
  </si>
  <si>
    <t>Unidade</t>
  </si>
  <si>
    <t>Valor Unitário</t>
  </si>
  <si>
    <t>Valor Unitário c/ BDI</t>
  </si>
  <si>
    <t>Valor Total</t>
  </si>
  <si>
    <t>CANALETA DE CONCRETO ESTRUTURAL 14 X 19 X 39 CM, FBK 14 MPA (NBR 6136)</t>
  </si>
  <si>
    <t>UN.</t>
  </si>
  <si>
    <t>Média p/ execução das CXs</t>
  </si>
  <si>
    <t>BLOCO DE CONCRETO ESTRUTURAL 14 X 19 X 39 CM, FBK 14 MPA (NBR 6136)</t>
  </si>
  <si>
    <t>CIMENTO PORTLAND COMPOSTO CP II-32</t>
  </si>
  <si>
    <t>KG</t>
  </si>
  <si>
    <t>AREIA MEDIA - POSTO JAZIDA/FORNECEDOR (RETIRADO NA JAZIDA, SEM TRANSPORTE)</t>
  </si>
  <si>
    <t>CV00182</t>
  </si>
  <si>
    <t>M³</t>
  </si>
  <si>
    <t>CXs</t>
  </si>
  <si>
    <t>PEDRA BRITADA N. 2 (19 A 38 MM) POSTO PEDREIRA/FORNECEDOR, SEM FRETE</t>
  </si>
  <si>
    <t>CV00210</t>
  </si>
  <si>
    <t>ARAME RECOZIDO 16 BWG, D = 1,65 MM (0,016 KG/M) OU 18 BWG, D = 1,25 MM (0,01 KG/M)</t>
  </si>
  <si>
    <t>CV00242</t>
  </si>
  <si>
    <t>ACO CA-50, 10,0 MM, VERGALHAO</t>
  </si>
  <si>
    <t>ACO CA-50, 12,5 MM, VERGALHAO</t>
  </si>
  <si>
    <t>PEDREIRO COM ENCARGOS COMPLEMENTARES</t>
  </si>
  <si>
    <t>AJUDANTE DE PEDREIRO COM ENCARGOS COMPLEMENTARES</t>
  </si>
  <si>
    <t>ARMADOR COM ENCARGOS COMPLEMENTARES</t>
  </si>
  <si>
    <t>ENGENHEIRO CIVIL PLENO COM ENCARGOS COMPLEMENTARES</t>
  </si>
  <si>
    <t>GUINDAUTO HIDRÁULICO, CAPACIDADE MÁXIMA DE CARGA 6200 KG, MOMENTO MÁXIMO DE CARGA 11,7 TM, ALCANCE MÁXIMO HORIZONTAL 9,70 M, INCLUSIVE CAMINHÃO TOCO PBT 16.000 KG, POTÊNCIA DE 189 CV - CHP DIURNO</t>
  </si>
  <si>
    <t>RETROESCAVADEIRA SOBRE RODAS COM CARREGADEIRA, TRAÇÃO 4X4, POTÊNCIA LÍQ. 88 HP, CAÇAMBA CARREG. CAP. MÍN. 1 M3, CAÇAMBA RETRO CAP. 0,26 M3, PESO OPERACIONAL MÍN. 6.674 KG, PROFUNDIDADE ESCAVAÇÃO MÁX. 4,37 M - CHP DIURNO</t>
  </si>
  <si>
    <t>TRAÇO DO CONCRETO</t>
  </si>
  <si>
    <t>Dimensões</t>
  </si>
  <si>
    <t>Comprimento</t>
  </si>
  <si>
    <t>Altura</t>
  </si>
  <si>
    <t>Traço (Cim/Areia/Pedra)</t>
  </si>
  <si>
    <t>Cimento (saco 50kg)</t>
  </si>
  <si>
    <t>Areia
(m³)</t>
  </si>
  <si>
    <t>Pedra
(m³)</t>
  </si>
  <si>
    <t>Água (litros)</t>
  </si>
  <si>
    <t>Interna</t>
  </si>
  <si>
    <t>Externa</t>
  </si>
  <si>
    <t>1,0 ; 2,5 ; 3,0</t>
  </si>
  <si>
    <t>Material</t>
  </si>
  <si>
    <t>Quantidade + 10%</t>
  </si>
  <si>
    <t>BLOCO DE CONCRETO ESTRUTURAL 14 X 19 X 39 CM - 12,5 unid. por m²</t>
  </si>
  <si>
    <t>un.</t>
  </si>
  <si>
    <t>Cimento</t>
  </si>
  <si>
    <t>CANALETA DE CONCRETO ESTRUTURAL 14 X 19 X 39 CM - 12,5 unid. por m²</t>
  </si>
  <si>
    <t>Areia</t>
  </si>
  <si>
    <t>Pedra</t>
  </si>
  <si>
    <t>CÁLCULO CONCRETO</t>
  </si>
  <si>
    <t>CÁLCULO BRITA</t>
  </si>
  <si>
    <t>Concreto</t>
  </si>
  <si>
    <t>Volume Unitário (m³)</t>
  </si>
  <si>
    <t>Volume Total (m³)</t>
  </si>
  <si>
    <t>Fundo Caixa</t>
  </si>
  <si>
    <t>larg. int. (m)</t>
  </si>
  <si>
    <t>comp. int. (m)</t>
  </si>
  <si>
    <t>altura (m)</t>
  </si>
  <si>
    <t>total (m³)</t>
  </si>
  <si>
    <t>Brocas</t>
  </si>
  <si>
    <t>Graute colunas</t>
  </si>
  <si>
    <t>Dreno</t>
  </si>
  <si>
    <t>diam</t>
  </si>
  <si>
    <t>prof</t>
  </si>
  <si>
    <t>Graute canaletas</t>
  </si>
  <si>
    <t>Laje</t>
  </si>
  <si>
    <t>CÁLCULO AÇO</t>
  </si>
  <si>
    <t>Barras de Aço</t>
  </si>
  <si>
    <t>Diâmetro (Ø)</t>
  </si>
  <si>
    <t>Compimento Unitário (m)</t>
  </si>
  <si>
    <t>Compimento Total (m)</t>
  </si>
  <si>
    <t>Peso (kg/m)</t>
  </si>
  <si>
    <t>Peso Total (kg)</t>
  </si>
  <si>
    <t>Peso Total + 10% (kg)</t>
  </si>
  <si>
    <t>N1 canaletas</t>
  </si>
  <si>
    <t>12,5mm</t>
  </si>
  <si>
    <t>N2 colunas</t>
  </si>
  <si>
    <t>N3 x tampa</t>
  </si>
  <si>
    <t>10,0mm</t>
  </si>
  <si>
    <t>N4 y tampa</t>
  </si>
  <si>
    <t>N5 amarração tampa</t>
  </si>
  <si>
    <t>Conjunto Completo de Parafusos em Aço Galvanizado PN10 DN80 mm</t>
  </si>
  <si>
    <t>cj.</t>
  </si>
  <si>
    <t>9.13.2</t>
  </si>
  <si>
    <t>Tampão Articulado Ferro Fundido DN 600 mm com Aro NTS 033</t>
  </si>
  <si>
    <t>HM01428</t>
  </si>
  <si>
    <t>9.13.3</t>
  </si>
  <si>
    <t>9.14.4</t>
  </si>
  <si>
    <t>9.13.4</t>
  </si>
  <si>
    <t>9.13.5</t>
  </si>
  <si>
    <t>9.13.6</t>
  </si>
  <si>
    <t>9.13.7</t>
  </si>
  <si>
    <t>Canaleta de concreto estrutural 14 x 19 x 39 cm, Fbk 14 Mpa (NBR 6136)</t>
  </si>
  <si>
    <t>Bloco de concreto estrutural 14 x 19 x 39 cm, Fbk 14 Mpa (NBR 6136)</t>
  </si>
  <si>
    <t>Cimento Portland composto CP II-32</t>
  </si>
  <si>
    <t>Areia média</t>
  </si>
  <si>
    <t>Pedra britada N.2 (19 a 38 mm)</t>
  </si>
  <si>
    <t>Arame recozido 16 BWG, D= 1,65 mm (0,016 kg/m) ou 18 BWG, D= 1,25 mm (0,01 kg/m)</t>
  </si>
  <si>
    <t>Aço CA-50, 10,0 mm, vergalhão</t>
  </si>
  <si>
    <t>Aço CA-50, 12,5 mm, vergalhão</t>
  </si>
  <si>
    <t>DIMENSÕES CAIXA - 2,00m x 2,00m</t>
  </si>
  <si>
    <t>MEMORIA DE CALCULO CONSTRUÇÃO CAIXA DIMENSÕES - 2,00m x 2,00m x 2,00m.</t>
  </si>
  <si>
    <t>Parque dos Brilhantes</t>
  </si>
  <si>
    <t>Qtde de Interligação</t>
  </si>
  <si>
    <t xml:space="preserve">CDHU186 - 46.04.050 </t>
  </si>
  <si>
    <t>Fornecimento, Instalação e Substituição de Hidrômetros</t>
  </si>
  <si>
    <t>Fornecimento de Hidrômetros, Conexões e Acessórios</t>
  </si>
  <si>
    <t>17.1</t>
  </si>
  <si>
    <t>12769</t>
  </si>
  <si>
    <t>HM01436</t>
  </si>
  <si>
    <t>HM01442</t>
  </si>
  <si>
    <t>Tubete longo em latão (liga de cobre) para hidrômetro - DN 20 MM - NBR 8194</t>
  </si>
  <si>
    <t>Tubete curto em latão (liga de cobre) para hidrômetro - DN 20 MM - NBR 8194</t>
  </si>
  <si>
    <t>HM01396</t>
  </si>
  <si>
    <t>Guarnição do tubete em borracha nitrílica para hidrômetro (arruela/junta) - DN 20 MM - NBR 8193/8194</t>
  </si>
  <si>
    <t>HM01416</t>
  </si>
  <si>
    <t>Porca do tubete para hidrômetro em latão (liga de cobre)- DN 20 MM -SEXTAVADA</t>
  </si>
  <si>
    <t>HM04304</t>
  </si>
  <si>
    <t>Aquisição e fornecimento de hidrômetros taquimétricos (classe metrológica b, unijato, vazão máxima 1,5 m³/h e vazão  nominal 0,75 m³/h e diâmetro 3/4''-20mm)</t>
  </si>
  <si>
    <t>17.2</t>
  </si>
  <si>
    <t>Fornecimento de Mão de Obra para Substituição de Hidrômetros e Instalação das demais peças</t>
  </si>
  <si>
    <t>Sub-Total 17</t>
  </si>
  <si>
    <t>9.15.2</t>
  </si>
  <si>
    <t>9.15.3</t>
  </si>
  <si>
    <t>9.15.4</t>
  </si>
  <si>
    <t>9.15.5</t>
  </si>
  <si>
    <t>9.15.6</t>
  </si>
  <si>
    <t>9.15.7</t>
  </si>
  <si>
    <t>9.15.8</t>
  </si>
  <si>
    <t>9.16</t>
  </si>
  <si>
    <t>9.16.1</t>
  </si>
  <si>
    <t>9.16.2</t>
  </si>
  <si>
    <t>9.16.3</t>
  </si>
  <si>
    <t>9.16.4</t>
  </si>
  <si>
    <t>9.16.5</t>
  </si>
  <si>
    <t>7.3</t>
  </si>
  <si>
    <t>7.3.1</t>
  </si>
  <si>
    <t>7.3.2</t>
  </si>
  <si>
    <t>7.3.3</t>
  </si>
  <si>
    <t>18.1</t>
  </si>
  <si>
    <t>18.1.1</t>
  </si>
  <si>
    <t>18.1.2</t>
  </si>
  <si>
    <t>18.1.3</t>
  </si>
  <si>
    <t>18.1.4</t>
  </si>
  <si>
    <t>18.1.5</t>
  </si>
  <si>
    <t>18.1.6</t>
  </si>
  <si>
    <t>18.2</t>
  </si>
  <si>
    <t>18.2.1</t>
  </si>
  <si>
    <t>18.2.2</t>
  </si>
  <si>
    <t>18.2.3</t>
  </si>
  <si>
    <t>18.3</t>
  </si>
  <si>
    <t>18.3.1</t>
  </si>
  <si>
    <t>18.3.2</t>
  </si>
  <si>
    <t>18.3.3</t>
  </si>
  <si>
    <t>Medições de Parâmetros Elétricos e Hidráulicos das bombas dos poços profundos, com relatórios de eficiência energética - 12 unid.</t>
  </si>
  <si>
    <t>Lacre anti fraude p/hidrômetros até 3 m3/h - polipropileno azul</t>
  </si>
  <si>
    <t xml:space="preserve">Manutenção: </t>
  </si>
  <si>
    <t>reforma na ultima virola e no teto do reservatório, pois esta todo corroído</t>
  </si>
  <si>
    <t>Atende:</t>
  </si>
  <si>
    <t>Incluso base, fundação e hidráulica</t>
  </si>
  <si>
    <t>Und</t>
  </si>
  <si>
    <t>Lavagem hidrojateamento</t>
  </si>
  <si>
    <t>espessura</t>
  </si>
  <si>
    <t>Perimetro</t>
  </si>
  <si>
    <t>Substituição do costado</t>
  </si>
  <si>
    <t>Substituição do teto</t>
  </si>
  <si>
    <t>Substituição gradil teto</t>
  </si>
  <si>
    <t>Peso estimado</t>
  </si>
  <si>
    <t>Ref.</t>
  </si>
  <si>
    <t>Valor unit.</t>
  </si>
  <si>
    <t>SABESP 70190121</t>
  </si>
  <si>
    <t>SUB-TOTAL</t>
  </si>
  <si>
    <t>Valor Kilo (Aço)</t>
  </si>
  <si>
    <t>Peso (Kg)</t>
  </si>
  <si>
    <t>COMPOSIÇÃO 01</t>
  </si>
  <si>
    <t>Composição 01</t>
  </si>
  <si>
    <t>Soldador</t>
  </si>
  <si>
    <t>Ajudante Geral</t>
  </si>
  <si>
    <t>MPO - ANEXO XIV</t>
  </si>
  <si>
    <t>SINAPI 88317</t>
  </si>
  <si>
    <t>SINAPI 88252</t>
  </si>
  <si>
    <t>SINAPI 5678</t>
  </si>
  <si>
    <t>SABESP 70190009</t>
  </si>
  <si>
    <t>DN 3,60 M</t>
  </si>
  <si>
    <t>1.5</t>
  </si>
  <si>
    <t>1.6</t>
  </si>
  <si>
    <t>Demolição de calçada existente Larg. 0,80 m, h=0,50 m</t>
  </si>
  <si>
    <t>SABESP 70180032</t>
  </si>
  <si>
    <t>ø Calçada</t>
  </si>
  <si>
    <t>Esp. calç. Existente</t>
  </si>
  <si>
    <t>Largura da calçada</t>
  </si>
  <si>
    <t>Esp. da calçada nova</t>
  </si>
  <si>
    <t>Execução de passeio (calçada) Esp. 0,10 m</t>
  </si>
  <si>
    <t>SABESP 70090056</t>
  </si>
  <si>
    <t>Remoção de entulho p/ bota fora</t>
  </si>
  <si>
    <t>SABESP 70190145</t>
  </si>
  <si>
    <t>Reaterro manual apiloado com soquete</t>
  </si>
  <si>
    <t>SINAPI 96995</t>
  </si>
  <si>
    <t>SABESP 70050006</t>
  </si>
  <si>
    <t>TOTAL</t>
  </si>
  <si>
    <t>Área</t>
  </si>
  <si>
    <t>Volume</t>
  </si>
  <si>
    <t>COMPOSIÇÃO 02</t>
  </si>
  <si>
    <t>12.4</t>
  </si>
  <si>
    <t>12.4.1</t>
  </si>
  <si>
    <t>Composição 02</t>
  </si>
  <si>
    <t xml:space="preserve">Reforma de reservatório existente de 70m³ </t>
  </si>
  <si>
    <t>Execução de canaleta meia cana pré moldade de concreto (perímetro da calçada externa)</t>
  </si>
  <si>
    <t>11.9</t>
  </si>
  <si>
    <t>Realocação de Rede</t>
  </si>
  <si>
    <t>11.9.1</t>
  </si>
  <si>
    <t>Mão de Obra e materiais para realocação de rede</t>
  </si>
  <si>
    <t>Projeto da Adutora</t>
  </si>
  <si>
    <t>Macromedidor de Vazão Flangeado DN80 mm</t>
  </si>
  <si>
    <t>Junta de Desmontagem Travada Axialmente Ferro Fundido DN150mm PN10/16</t>
  </si>
  <si>
    <t>HM05883</t>
  </si>
  <si>
    <r>
      <t xml:space="preserve">Macromedidor </t>
    </r>
    <r>
      <rPr>
        <b/>
        <sz val="10"/>
        <color theme="1"/>
        <rFont val="Arial"/>
        <family val="2"/>
      </rPr>
      <t>ø80 mm</t>
    </r>
    <r>
      <rPr>
        <b/>
        <sz val="10"/>
        <rFont val="Arial"/>
        <family val="2"/>
      </rPr>
      <t xml:space="preserve"> (a ser implantado na saída do Reservatório p/ a Adutora nova)</t>
    </r>
  </si>
  <si>
    <t>Redução Concêntrica com Flanges PN10/16 Ferro Fundido DN150x80 mm</t>
  </si>
  <si>
    <t>HM01293</t>
  </si>
  <si>
    <t>Macromedidor de Vazão Flangeado DN50 mm</t>
  </si>
  <si>
    <t>Extremidade FOFO Ponta Flange PN10 DN 150mm</t>
  </si>
  <si>
    <t>Extremidade FOFO Ponta Flange PN10 DN150mm</t>
  </si>
  <si>
    <t>Redução Concêntrica com Flanges PN10/16 Ferro Fundido DN150x50 mm</t>
  </si>
  <si>
    <t>Conjunto Completo de Parafusos em Aço Galvanizado PN10 DN150 mm</t>
  </si>
  <si>
    <t>Conjunto Completo de Parafusos em Aço Galvanizado PN10 DN50 mm</t>
  </si>
  <si>
    <t>10.5</t>
  </si>
  <si>
    <t>10.5.1</t>
  </si>
  <si>
    <t>10.5.2</t>
  </si>
  <si>
    <t>10.5.3</t>
  </si>
  <si>
    <t>10.5.4</t>
  </si>
  <si>
    <t>10.5.5</t>
  </si>
  <si>
    <t>10.6</t>
  </si>
  <si>
    <t>10.6.1</t>
  </si>
  <si>
    <t>10.6.2</t>
  </si>
  <si>
    <t>10.6.3</t>
  </si>
  <si>
    <t>10.6.4</t>
  </si>
  <si>
    <t>10.6.5</t>
  </si>
  <si>
    <t>10.6.6</t>
  </si>
  <si>
    <t>10.6.7</t>
  </si>
  <si>
    <t>10.7</t>
  </si>
  <si>
    <t>10.7.1</t>
  </si>
  <si>
    <t>10.7.2</t>
  </si>
  <si>
    <t>10.7.3</t>
  </si>
  <si>
    <t>10.7.4</t>
  </si>
  <si>
    <t>10.8</t>
  </si>
  <si>
    <t>10.8.1</t>
  </si>
  <si>
    <t>10.8.2</t>
  </si>
  <si>
    <t>10.8.3</t>
  </si>
  <si>
    <t>10.8.4</t>
  </si>
  <si>
    <t>10.8.5</t>
  </si>
  <si>
    <t>10.8.6</t>
  </si>
  <si>
    <t>10.8.7</t>
  </si>
  <si>
    <t>10.8.8</t>
  </si>
  <si>
    <t>10.9</t>
  </si>
  <si>
    <t>10.9.1</t>
  </si>
  <si>
    <t>10.9.2</t>
  </si>
  <si>
    <t>10.9.3</t>
  </si>
  <si>
    <t>10.9.4</t>
  </si>
  <si>
    <t>10.9.5</t>
  </si>
  <si>
    <r>
      <t xml:space="preserve">Setor 09 - Vila Nova - Reservatório Vol. 300 m³ H=6,00  ø9,60 m -  </t>
    </r>
    <r>
      <rPr>
        <b/>
        <sz val="11"/>
        <color rgb="FFFF0000"/>
        <rFont val="Calibri"/>
        <family val="2"/>
        <scheme val="minor"/>
      </rPr>
      <t>Reforma</t>
    </r>
  </si>
  <si>
    <t>SINAPI 88267</t>
  </si>
  <si>
    <t>COMPOSIÇÃO 03</t>
  </si>
  <si>
    <t>SINAPI 88248</t>
  </si>
  <si>
    <r>
      <t>RECUPERAÇÃO RESERVATÓRIO 70 m³ -</t>
    </r>
    <r>
      <rPr>
        <b/>
        <sz val="11"/>
        <color rgb="FFFF0000"/>
        <rFont val="Calibri"/>
        <family val="2"/>
        <scheme val="minor"/>
      </rPr>
      <t xml:space="preserve"> Reforma</t>
    </r>
  </si>
  <si>
    <t>Escavação e Reaterro - Minicarregadeira sobre rodas ou  Retroescavadeira</t>
  </si>
  <si>
    <t>70010009</t>
  </si>
  <si>
    <t>EQD</t>
  </si>
  <si>
    <t>Identificação em planta cadastral dos pontos de instalação de CAP, VRP, Telemetria, registros, etc</t>
  </si>
  <si>
    <t>Guincho (pequeno)</t>
  </si>
  <si>
    <t>Remoção de solo argiloso - Retroescavadeira</t>
  </si>
  <si>
    <t>SABESP 70190164</t>
  </si>
  <si>
    <t>Mobilização de equipamentos de jato abrasivo e pintura</t>
  </si>
  <si>
    <t>Corte e remoção do reservatório metálico existente para acesso a face interna, para a remoção do residuos (areias), e para tratamento de superfície e pintura)</t>
  </si>
  <si>
    <t>3.10</t>
  </si>
  <si>
    <t>3.11</t>
  </si>
  <si>
    <t>SABESP 70190026</t>
  </si>
  <si>
    <t>REVESTIMENTO IMPERMEABILIZANTE E ANTICORROSIVO EPÓXI ISENTO DE SOLVENTES, DE ALTA RESISTÊNCIA QUÍMICA, COM PREPARAÇÃO DA SUPERFÍCIE COM PRIMER, PARTE INTERNA E EXTERNA DO RESERVATÓRIO</t>
  </si>
  <si>
    <t>PINTURA IMPERMEABILIZANTE, CINCO DEMÃOS DE POLIURETANO (3 demãos) - externo</t>
  </si>
  <si>
    <t>Mobilização e desmobilização de Retro Escavadeira</t>
  </si>
  <si>
    <t>CDHU - 01.17.031</t>
  </si>
  <si>
    <t>Modelagem Hidráulica Matematica, utilizando software WaterCAD, ou EPANET, do sistema de distribuição de água de Ipaussu - SP.</t>
  </si>
  <si>
    <t>COMERCIAL</t>
  </si>
  <si>
    <t>Mão de obra e materiais para reforma completa do reservatório metálico existente, contemplando remoção de parte do costado, retirada de camada existente de areia de aproximadamente 2,00 metros, lavagem com hidrojato, posterior para o tratamento de superfície, recomposição estrutural do reservatório e Jato abrasivo, pintura de primer e pintura final, conforme memorial descritivo.</t>
  </si>
  <si>
    <t>Engenheiro Civil de obras com Encargos Complementares</t>
  </si>
  <si>
    <t>90778</t>
  </si>
  <si>
    <t>Encarregado Geral com Encargos Complementares</t>
  </si>
  <si>
    <t>90776</t>
  </si>
  <si>
    <t>Encanador com Encargos Complementares</t>
  </si>
  <si>
    <t>88267</t>
  </si>
  <si>
    <t>Auxiliar de encanador com Encargos Complementares</t>
  </si>
  <si>
    <t>88248</t>
  </si>
  <si>
    <t>88284</t>
  </si>
  <si>
    <t>91677</t>
  </si>
  <si>
    <t>88247</t>
  </si>
  <si>
    <t>Mão de obra e materiais para reforma de reservatório metálico existente, contemplando manutenção na ultima virola do topo do reservatório e manutenção no teto do mesmo. Lavagem com hidrojato, posterior para o tratamento de superfície, recomposição estrutural do reservatório e Jato abrasivo, pintura de primer e pintura final, conforme memorial descritivo.</t>
  </si>
  <si>
    <t>SINAPI 100997</t>
  </si>
  <si>
    <t>SINAPI 91634</t>
  </si>
  <si>
    <t>Engenheiro Civil com Encargos Complementares</t>
  </si>
  <si>
    <t>SINAPI 90778</t>
  </si>
  <si>
    <t>Eletrodo (E7018 4,00 mm)</t>
  </si>
  <si>
    <t>Remoção de 3 x 3,00 m (parte do costado) 1 soldador, 1 ajudante geral e 4 h de engenheiro</t>
  </si>
  <si>
    <t>JATEAMENTO C/MINÉRIO TIPO ESFÉRICO GRANULOM. 12/20 ALFA ALUMINA - 80% (interno SA3 e externo SA2.1/2)</t>
  </si>
  <si>
    <t>Maçariqueiro com Encargos Complementares</t>
  </si>
  <si>
    <t>SINAPI 88272</t>
  </si>
  <si>
    <t>Transporte de Pessoal</t>
  </si>
  <si>
    <t>Km</t>
  </si>
  <si>
    <t>DER 37.01.23.99</t>
  </si>
  <si>
    <t>DMZ SP à Ipaussu - Mob.</t>
  </si>
  <si>
    <t>DMZ SP à Ipaussu - Desmob.</t>
  </si>
  <si>
    <t>REALOCAÇÃO DE REDE</t>
  </si>
  <si>
    <t xml:space="preserve">Projeto hidráulico dos macromedidores de vazão </t>
  </si>
  <si>
    <t>AREA URBANA DO MUNICÍPIO DE IPAUSSU  - SP</t>
  </si>
  <si>
    <t>Tapume com compensado de madeira (Fechamento de área 20m x 20m x 2,20 m/h)</t>
  </si>
  <si>
    <t>Construção de caixa abrigo para o Registro de Gaveta</t>
  </si>
  <si>
    <t>Fornecimento de Materiais Hidráulicos</t>
  </si>
  <si>
    <t>Implantação do Setor 04 - Cocaja I</t>
  </si>
  <si>
    <t>Sub-Total</t>
  </si>
  <si>
    <t>Projeto Executivo Adutora ø150mm com travessia</t>
  </si>
  <si>
    <t>Construção do abrigo para o Macromedidor - 2,00X2,00 m - 1 unid. - Materiais</t>
  </si>
  <si>
    <t>Mão de Obra de Profissionais p/ interligações e Suporte Técnico</t>
  </si>
  <si>
    <t>Implantação do Setor 07 - Industrial I</t>
  </si>
  <si>
    <t>Limpeza manual de vegetação inclusive arbustos</t>
  </si>
  <si>
    <t>Aux. de Encanador (2 profissionais 8h/dia x 2 dias)</t>
  </si>
  <si>
    <t>Encanador (1 profissional 8h/dia x 2 dias)</t>
  </si>
  <si>
    <t>Engenheiro Civil - MPO - Anexo XIV (1 proffional 4h/dia x 2 dias)</t>
  </si>
  <si>
    <t>Implantação do Setor 12 - José Ramos</t>
  </si>
  <si>
    <t>18.3.4</t>
  </si>
  <si>
    <t>Código SABESP 11/2022</t>
  </si>
  <si>
    <t>CÓDIGO SINAPI 01/2023</t>
  </si>
  <si>
    <t>Locação de Container tipo Depósito - área mínima de 13,80 m²</t>
  </si>
  <si>
    <t>CDHU - 02.02.150</t>
  </si>
  <si>
    <t>IMPLANTAÇÃO DO PROJETO DE SETORIZAÇÃO</t>
  </si>
  <si>
    <t>Engenheiro Civil de obras com Encargos Complementares - 4h/dia x 2 dias</t>
  </si>
  <si>
    <t>Encarregado Geral com Encargos Complementares - 8 h/dia x 2 dias</t>
  </si>
  <si>
    <t>Encanador com Encargos Complementares 8 h/dia x 2 dias x 1 profiss.</t>
  </si>
  <si>
    <t>Auxiliar de encanador com Encargos Complementares 8 h/dia x 2 dias x 1 profiss.</t>
  </si>
  <si>
    <t>0</t>
  </si>
  <si>
    <t>Implantação do Setor 02 - Gaivotas</t>
  </si>
  <si>
    <t>5678</t>
  </si>
  <si>
    <t>5679</t>
  </si>
  <si>
    <t>Espessura</t>
  </si>
  <si>
    <t>Obs. ancoragem da válvula de gaveta</t>
  </si>
  <si>
    <t>Engenheiro Civil de obras com Encargos Complementares 1 h/intervenção x 3 intervenções</t>
  </si>
  <si>
    <t>Encarregado Geral com Encargos Complementares 2 h/interveção x 3 intervenções</t>
  </si>
  <si>
    <t>Encanador com Encargos Complementares 8 h/intervenção x 3 intervenções</t>
  </si>
  <si>
    <t>Auxiliar de encanador com Encargos Complementares 8 h/intervenção x 3 intervenções</t>
  </si>
  <si>
    <t>Nº DE INTERVENÇÕES</t>
  </si>
  <si>
    <t>Área de Limpeza = Quantidade de intervenções x Largura de Corte da Vala x Comprimento de Corte da Vala</t>
  </si>
  <si>
    <t xml:space="preserve">                              </t>
  </si>
  <si>
    <t>Limpeza manual de vegetação, inclusive poda de pequenos arbustos</t>
  </si>
  <si>
    <t>Encarregado Geral com Encargos Complementares 8 h/dia x 2 dias</t>
  </si>
  <si>
    <t>Engenheiro Civil de obras com Encargos Complementares 4 h/dia x 2 dia</t>
  </si>
  <si>
    <t>Motorista de Veículo Leve com Encargos Complementares 8 h/ dia x 2 dias x 1 profiss.</t>
  </si>
  <si>
    <t xml:space="preserve">Locação de Rede = Extensão da Rede </t>
  </si>
  <si>
    <t>Locação de redes de Água</t>
  </si>
  <si>
    <t xml:space="preserve"> (2 Laterais da Vala x (Extensão da Rede em Asfalto)) / Taxa de Reaproveitamento</t>
  </si>
  <si>
    <t xml:space="preserve"> (Quantidade de Intervenções x Perímetro das Intervenções) / Taxa de Reaproveitamento</t>
  </si>
  <si>
    <t>Preparação do solo, abertura de valas, compactação e recomposição do pavimento - 582,00 m de rede</t>
  </si>
  <si>
    <t>Demarcação = Comprimento de rede x 2 Laterais ............................................................................</t>
  </si>
  <si>
    <t>Escoramento = ((Extensão da Rede x 2 laterais da vala) / Reaproveitamento)  .....................................................................................</t>
  </si>
  <si>
    <t>Prof. de rede</t>
  </si>
  <si>
    <t>Obs. profundidade variável</t>
  </si>
  <si>
    <t>Preparação do solo, abertura de valas, compactação e recomposição do pavimento - Intervenções</t>
  </si>
  <si>
    <t>Esp. do lastro</t>
  </si>
  <si>
    <t>Esp. da Sub-base</t>
  </si>
  <si>
    <t>Espessura da camada asfáltica</t>
  </si>
  <si>
    <t>Camada de Concreto Asfáltico = Área de Corte x Espessura da Camada (5,00cm) ................................</t>
  </si>
  <si>
    <t>Remoção de Entulho = Área de Demolição x Espessura Pavimento Demolido (Esp. 5,0cm) .................</t>
  </si>
  <si>
    <t xml:space="preserve">Remoção de Entulho = Área de Demolição x Espessura Pavimento Demolido (Esp. 5,00cm) ....................                                                </t>
  </si>
  <si>
    <t xml:space="preserve">Volume de Compactação Mecanizada = Área da Intervenção x Esp. da camada de fundo de vala </t>
  </si>
  <si>
    <t>6.4.10</t>
  </si>
  <si>
    <t>Superfície de Pintura = Área de demolição ...........................</t>
  </si>
  <si>
    <t>Engenheiro Civil de obras com Encargos Complementares 4 h/dia x 1 dia</t>
  </si>
  <si>
    <t>Encanador com Encargos Complementares 8 h/dia x 1 dias x 1 profiss.</t>
  </si>
  <si>
    <t>Auxiliar de encanador com Encargos Complementares 8 h/dia x 1 dias x 1 profiss.</t>
  </si>
  <si>
    <t>Aferição e Calibração de Macromedidor com equipamento do tipo ultrassônico</t>
  </si>
  <si>
    <t>Serviços preliminares e Implantação de Canteiro de Obras</t>
  </si>
  <si>
    <t>Ancoragem para as Peças Hidráulicas</t>
  </si>
  <si>
    <t>Serviços Hidráulicos para a Implantação da Rede e das Intervenções</t>
  </si>
  <si>
    <t>Área de Limpeza = Área da rede + Área das intervenções      ...............................................................................</t>
  </si>
  <si>
    <t>Reservatório Metálico 200 m³</t>
  </si>
  <si>
    <t>Engenheiro Civil de obras com Encargos Complementares 4 h/dia x 2 dias</t>
  </si>
  <si>
    <t>8.2.10</t>
  </si>
  <si>
    <t>9.2.10</t>
  </si>
  <si>
    <t>Camada de Concreto Asfáltico = Área das Intervenções x Espessura da camada de concreto asfáltico</t>
  </si>
  <si>
    <t xml:space="preserve">                                                      </t>
  </si>
  <si>
    <t>Macromedidor ø80 mm (a ser implantado na saída do Reservatório p/ a Adutora nova)</t>
  </si>
  <si>
    <t>Preparo de solo, abertura de valas, compactação e fechamento de valas</t>
  </si>
  <si>
    <t>Carga Horária = 2 dias x 10 horas/dia ..........................................</t>
  </si>
  <si>
    <t>Esp. da camada de fundo</t>
  </si>
  <si>
    <t>Escoramento = ((Perímetro da vala x Profundidade da vala) x Quantidade de intervenções)  .....................................................................................</t>
  </si>
  <si>
    <t>Volume de Escavação</t>
  </si>
  <si>
    <t>Volume de Aterro = Volume de Escavação - ((Área da Intervenção x Prof. da vala) x Quant. De Intervenções)</t>
  </si>
  <si>
    <t>Macromedidor da Saída do Reservatório de 200 m³ - Instalação</t>
  </si>
  <si>
    <t>Aux. de Encanador</t>
  </si>
  <si>
    <t>Bloco de Concreto Estrutural 14 X 19 X 39 cm - 12,5 unid. por m²</t>
  </si>
  <si>
    <t>Canaleta de Concreto Estrutural 14 X 19 X 39 cm - 12,5 unid. por m²</t>
  </si>
  <si>
    <t>Guindauto hidráulico, capacidade máxima de carga 6200 kg, momento máximo de carga 11,7 tm, alcance máximo horizontal 9,70 m, inclusive caminhão toco pbt 16.000 kg, potência de 189 cv</t>
  </si>
  <si>
    <t>Pedreiro com encargos complementares 8 h/dia x 5 dias x 1 profiss.</t>
  </si>
  <si>
    <t>Aj. de Pedreiro com encargos complementares 8 h/dia x 5 dias x 1 profiss.</t>
  </si>
  <si>
    <t>Armador com Encargos Complementares 8 h/dia x 1 dia x 1 profiss.</t>
  </si>
  <si>
    <t>Engenheiro Civil de obras com Encargos Complementares 4 h/dia x 5 dias</t>
  </si>
  <si>
    <t>Carga Horária = Quant. de Cxs x 4 horas/cx (instalação da tampa de cobertura da caixa abrigo do macromedidor) ..........................................</t>
  </si>
  <si>
    <t>9.17</t>
  </si>
  <si>
    <t>9.17.1</t>
  </si>
  <si>
    <t>Locação de adutoras, coletores tronco e interceptores (até Ø500mm) = Extensão total de Rede ø150mm</t>
  </si>
  <si>
    <t>9.17.2</t>
  </si>
  <si>
    <t>Sinalização da Extensão da Rede</t>
  </si>
  <si>
    <t>9.17.3</t>
  </si>
  <si>
    <t>9.18</t>
  </si>
  <si>
    <t>Carga horária = Extensão de rede / Produtividade estimada (70m/dia) x 10 horas (À Disposição) ...........</t>
  </si>
  <si>
    <t>9.18.1</t>
  </si>
  <si>
    <t>9.18.2</t>
  </si>
  <si>
    <t>TRECHO SEM PAVIMENTO</t>
  </si>
  <si>
    <t>9.18.3</t>
  </si>
  <si>
    <t>9.18.4</t>
  </si>
  <si>
    <t>9.18.5</t>
  </si>
  <si>
    <t>9.18.6</t>
  </si>
  <si>
    <t>9.18.7</t>
  </si>
  <si>
    <t>9.18.8</t>
  </si>
  <si>
    <t>9.18.9</t>
  </si>
  <si>
    <t>9.18.10</t>
  </si>
  <si>
    <t>9.18.11</t>
  </si>
  <si>
    <t>9.18.12</t>
  </si>
  <si>
    <t>9.18.13</t>
  </si>
  <si>
    <t>Escoramento = (((Perímetro da vala x Profundidade da vala) x Quantidade de intervenções) / Reaproveitamento)  .....................................................................................</t>
  </si>
  <si>
    <t>Escoramento = (((Extensão da rede x Prof. da vala) x 2 lados) / Reaproveitamento)   .....................................................................................</t>
  </si>
  <si>
    <t>Lastro de areia (e=10cm) para envoltoria</t>
  </si>
  <si>
    <t>Lastro de areia = Extensão da rede x largura da vala x espessura do lastro</t>
  </si>
  <si>
    <t>Esp. da camada de areia</t>
  </si>
  <si>
    <t>Volume de Aterro = Volume de Escavação - Volume do tubo</t>
  </si>
  <si>
    <t>Volume do tubo ø150mm</t>
  </si>
  <si>
    <t xml:space="preserve">Remoção de Entulho = Volume do tubo ....................                                                </t>
  </si>
  <si>
    <t>Rendimento de trecho s/pavimento</t>
  </si>
  <si>
    <t>Engenheiro Civil de obras com Encargos Complementares (Extensão de rede / Rendimento médio) x 4 h/dia</t>
  </si>
  <si>
    <t>Encarregado Geral com Encargos Complementares (Extensão de rede / Rendimento médio) x 8 h/dia</t>
  </si>
  <si>
    <t>TRECHO COM PAVIMENTO/PASSEIO</t>
  </si>
  <si>
    <t>Mão de Obra de Profissionais p/ interligações e Suporte Técnico - Trecho sem pavimento</t>
  </si>
  <si>
    <t>ADUTORA ø150mm</t>
  </si>
  <si>
    <t>Área de Demolição = Quantidade de Intervenções x Área da Intervenção = Extensão</t>
  </si>
  <si>
    <t xml:space="preserve">                                  da Rede x Largura da vala ......................</t>
  </si>
  <si>
    <t>Levantamento de Passeio cimentado</t>
  </si>
  <si>
    <t>Levantamento de Passeio cimentado = Extensão da rede x Largura da vala</t>
  </si>
  <si>
    <t xml:space="preserve">Volume de Compactação Mecanizada = Extensão da rede x Largura da vala x Espessura da camada </t>
  </si>
  <si>
    <t xml:space="preserve">Remoção de Entulho = Volume de remoção do pavimento + Volume de remoção do passeio + Volume do tubo ....................                                                </t>
  </si>
  <si>
    <t xml:space="preserve">Volume da Sub-Base = Extensão da rede x Largura da vala x Espessura da </t>
  </si>
  <si>
    <t>Camada de Concreto Asfáltico = Área de demolição do pavimento x Espessura da camada de concreto asfáltico</t>
  </si>
  <si>
    <t>Execução de Passeio cimentado = Área de demolição de passeio</t>
  </si>
  <si>
    <t>Demarcação = Comprimento de rede no pavimento x 2 Laterais ............................................................................</t>
  </si>
  <si>
    <t>Levantamento de Passeio Cimentado</t>
  </si>
  <si>
    <t>9.19</t>
  </si>
  <si>
    <t>9.19.1</t>
  </si>
  <si>
    <t>9.19.2</t>
  </si>
  <si>
    <t>9.19.3</t>
  </si>
  <si>
    <t>Escoramento Descontínuo</t>
  </si>
  <si>
    <t>5.2.10</t>
  </si>
  <si>
    <t xml:space="preserve">Escoramento Descontínuo </t>
  </si>
  <si>
    <t>M.O. para a interligação adutora e Reservatório</t>
  </si>
  <si>
    <t>Mão de Obra de Profissionais p/ interligações e Suporte Técnico - Trecho com pavimento/passeio</t>
  </si>
  <si>
    <t>9.20</t>
  </si>
  <si>
    <t>9.20.1</t>
  </si>
  <si>
    <t>9.20.2</t>
  </si>
  <si>
    <t>9.20.3</t>
  </si>
  <si>
    <t>9.20.4</t>
  </si>
  <si>
    <t>HM02964</t>
  </si>
  <si>
    <t>Curva 90º com Bolsas JE2GS Ferro Fundido DN=150 mm  (21,60 KG) Pintura Betuminosa e Anéis de Borracha Inclusos NBR 7675 para Água</t>
  </si>
  <si>
    <t>Válvula Gaveta c/ Bolsas JGS Ferro Fundido DN=150 mm (34,00 KG), Acion. Cabeçote, Cunha de Borracha, Pintura Epóxi em Pó NBR 14968 Água/Esgoto</t>
  </si>
  <si>
    <t>HM07062</t>
  </si>
  <si>
    <t>Implantação do Setor 06 - Estação - Intervenções e Adutora ø150mm - 1150,00 metros</t>
  </si>
  <si>
    <t>9.21</t>
  </si>
  <si>
    <t>9.21.1</t>
  </si>
  <si>
    <t>Caixa abrigo para o Macromedidor - Mão de Obra p/ Construção</t>
  </si>
  <si>
    <t>Área de Limpeza = Extensão da rede c/ Pavimento x Largura da vala ................................................................................</t>
  </si>
  <si>
    <t>Sub-total</t>
  </si>
  <si>
    <t>Implantação da Rede ø150 mm interligando o reservatório ao setor nº 06</t>
  </si>
  <si>
    <t xml:space="preserve"> ADUTORA ø150 mm</t>
  </si>
  <si>
    <t>9.19.4</t>
  </si>
  <si>
    <t>9.19.5</t>
  </si>
  <si>
    <t>9.19.6</t>
  </si>
  <si>
    <t>9.19.7</t>
  </si>
  <si>
    <t>9.19.8</t>
  </si>
  <si>
    <t>Extremidade Ponta - Flange PN10/16 e Aba de Vedação Ferro Fundido DN=150 mm L=700 mm (32,00 KG) Pintura Betuminosa - Acessórios não Inclusos NBR 7675 Água</t>
  </si>
  <si>
    <t>HM03114</t>
  </si>
  <si>
    <t>Luva de Correr com Bolsas Junta Mecânica Ferro Fundido DN=150 mm (27,56 KG) Pintura Betuminosa c/ Acessórios Inclusos NBR 7675 Água</t>
  </si>
  <si>
    <t>Tê com Flanges PN10/16 Ferro Fundido DN=150 X 150 mm (32,00 KG) Pintura Betuminosa, Acessórios não Inclusos NBR 7675 Água</t>
  </si>
  <si>
    <t>Redução Concêntrica com Flanges PN10/16 Ferro Fundido DN=150 X 80 mm (25,60 KG) Pintura Betuminosa, Acessórios não Inclusos NBR 7675 Água</t>
  </si>
  <si>
    <t>HM03403</t>
  </si>
  <si>
    <t>Adaptador PVC/PBA x Ferro Fundido DE=85 mm</t>
  </si>
  <si>
    <t>9.19.9</t>
  </si>
  <si>
    <t>9.19.10</t>
  </si>
  <si>
    <t>Redução PVC PBA, JE, PB, DN 75 X 50 / DE 85 X 60 mm, para Rede de Água</t>
  </si>
  <si>
    <t>Tubo PVC PBA JEI, Classe 15, DN 75 mm, para Rede de Água (NBR 5647)</t>
  </si>
  <si>
    <t>Luva de Correr, PVC PBA, JE, DN 50 / DE 60 mm, para Rede Agua (NBR 10351)</t>
  </si>
  <si>
    <t>9.19.11</t>
  </si>
  <si>
    <t>9.9.12</t>
  </si>
  <si>
    <t>9.9.13</t>
  </si>
  <si>
    <t>9.9.14</t>
  </si>
  <si>
    <t>Acessórios para Flange DN=80 PN10 Aço Galv D=5/8" X L=2 3/4" 8 cj (Parafuso, Porca e Arruela) Norma 0100-400-E027 FL3/3</t>
  </si>
  <si>
    <t>Acessórios para Flange DN=150 PN10 Aço Galv D=3/4" X L=2 3/4" 8 cj (Parafuso, Porca e Arruela) Norma 0100-400-E027 FL3/3</t>
  </si>
  <si>
    <t>Acessórios para Flange DN=50 PN10 Aço Galv D=5/8" X L=2 3/4" 4 cj (Parafuso, Porca e Arruela) NORMA 0100-400-E027 FL3/3</t>
  </si>
  <si>
    <t>Arruela de Vedação Borracha Natural NR1087 c/1 Lona E=3mm DE=285mm DI=173mm p/Flange PN10 DN150 Face Plena</t>
  </si>
  <si>
    <t>HM07302</t>
  </si>
  <si>
    <t>9.9.15</t>
  </si>
  <si>
    <t>Arruela de Vedação Borracha Natural NR1087 c/1 Lona E=3mm DE=220mm DI=119mm p/Flange PN10 DN80/100 Face Plena</t>
  </si>
  <si>
    <t>9.9.16</t>
  </si>
  <si>
    <t>9.9.17</t>
  </si>
  <si>
    <t>Arruela de Vedação Borracha Natural NR1087 c/1 Lona E=3mm DE=165mm DI=65mm p/Flange PN10 DN50 Face Plena</t>
  </si>
  <si>
    <t>Escoramento Contínuo</t>
  </si>
  <si>
    <t>101583</t>
  </si>
  <si>
    <t>Escoramento = (((Perímetro da vala x Profundidade da vala) x Quantidade de intervenções)  .....................................................................................</t>
  </si>
  <si>
    <t>Escoramento = (((Perímetro da vala x Profundidade da vala)  .....................................................................................</t>
  </si>
  <si>
    <t>Escoramento = (((Perímetro da vala x Profundidade da vala) x Qunatidade de intervenções)  .....................................................................................</t>
  </si>
  <si>
    <t>Poço P07</t>
  </si>
  <si>
    <t>Macromedidor ø50 mm (a ser implantado na saída do Reservatório  p/ a Entrada do Setor 07)</t>
  </si>
  <si>
    <t xml:space="preserve">Remoção de Entulho = (Largura da Intervenção x Comprimento da Intervenção x Profundidade da Intervenção) x Quant. De Intervenções ....................                                                </t>
  </si>
  <si>
    <t>Macromedidor  - Instalação</t>
  </si>
  <si>
    <t>Implantação do Setor 08 - Centro</t>
  </si>
  <si>
    <t>Utilizado taxa de reaproveitamento dos materiais de sinalização</t>
  </si>
  <si>
    <t>Fornecimento de Materiais Hidráulicos Hidráulicos - Adutora advinda do Reservatório + Interligação à rede ø50mm existente</t>
  </si>
  <si>
    <t>Engenheiro Civil de obras com Encargos Complementares 1 h/dia x 2 dias</t>
  </si>
  <si>
    <t>TOTAIS - M.O. para instalação das peças hidráulicas (item 11.3)</t>
  </si>
  <si>
    <t>Engenheiro Civil de obras com Encargos Complementares 4 h/dia x 2 dias x 2 macromedidores</t>
  </si>
  <si>
    <t>Encarregado Geral com Encargos Complementares 8 h/dia x 2 dias x 2 macromedidores</t>
  </si>
  <si>
    <t>Encanador com Encargos Complementares 8 h/dia x 2 dias x 1 profiss. X 2 macromedidores</t>
  </si>
  <si>
    <t>Auxiliar de encanador com Encargos Complementares 8 h/dia x 2 dias x 1 profiss. X 2 macromedidores</t>
  </si>
  <si>
    <t>Motorista de Veículo Leve com Encargos Complementares 8 h/ dia x 2 dias x 1 profiss. X 2 macromedidores</t>
  </si>
  <si>
    <t>Macromedidor do Poço Novo P07 - Instalação</t>
  </si>
  <si>
    <t>Implatação do Setor 09 - Vila Nova</t>
  </si>
  <si>
    <t>Implantação do Setor 11 - Flamboyant</t>
  </si>
  <si>
    <t xml:space="preserve">Remoção de Entulho = Área de Demolição x Espessura Pavimento Demolido (Esp. 5,0cm) ....................                                                </t>
  </si>
  <si>
    <t>IMPLANTAÇÃO DA ADUTORA do RESERVATÓRIO DE 200m³ existente dentro do Setor 07 (Distrito Industrial I) para abastecimento do SETOR 06 (Estação)</t>
  </si>
  <si>
    <t>setores</t>
  </si>
  <si>
    <t>Medição de pressão pelo processo pitométrico, período mínimo de 7 dias</t>
  </si>
  <si>
    <t>Nº de medições por setor</t>
  </si>
  <si>
    <t>Quant. de Setores</t>
  </si>
  <si>
    <t>Medição de pressão instantânea pelo processo pitométrico = Nº de medições por setor x Quant. de setores.....................................................</t>
  </si>
  <si>
    <t>Medição de pressão pelo processo pitométrico = Nº de medições por setor x Quant. de setores.....................................................</t>
  </si>
  <si>
    <t>16.1</t>
  </si>
  <si>
    <t>16.2</t>
  </si>
  <si>
    <t>16.3</t>
  </si>
  <si>
    <t>Execução de medição de pressão por data logger = Nº de medições por setor x Quant. de setores.....................................................</t>
  </si>
  <si>
    <t>Execução de medição de pressão por data logger de pressão, pelo período de 24 horas</t>
  </si>
  <si>
    <t>16.4</t>
  </si>
  <si>
    <t xml:space="preserve">Identificação em Planta Cadastral = Quant. de setores / Equipe dia </t>
  </si>
  <si>
    <t>Equipe dia</t>
  </si>
  <si>
    <t>Pré Operação e Teste de Estanqueidade dos Setores</t>
  </si>
  <si>
    <t>17.3</t>
  </si>
  <si>
    <t>Engenheiro Civil de obras com Encargos Complementares 10 h/dia x 12 setores</t>
  </si>
  <si>
    <t>Encarregado Geral com Encargos Complementares 10 h/dia x 12 setores</t>
  </si>
  <si>
    <t>Medidor de Parâmetros Elétricos: Equipamento unitário x Quant. de Setores</t>
  </si>
  <si>
    <t>Equip. Unitário</t>
  </si>
  <si>
    <t>Motorista de Veículo Leve com Encargos Complementares 1 h/dia x Quantidade de Hidrômetros</t>
  </si>
  <si>
    <t>Encanador com Encargos Complementares 1 h/dia x Quantidade de Hidrômetros</t>
  </si>
  <si>
    <t>Auxiliar de Encanador com Encargos Complementares 1 h/dia x Quantidade de Hidrômetros</t>
  </si>
  <si>
    <t>Quantdiade de Hidrômetros</t>
  </si>
  <si>
    <t>Setores</t>
  </si>
  <si>
    <t>Medições por setor</t>
  </si>
  <si>
    <t>medições/setor</t>
  </si>
  <si>
    <t>medições</t>
  </si>
  <si>
    <t>Levantamento do Perfil de Consumo através de Data-Logger de Vazão e Pressão em ligações domiciliares (24 Pontos) pelo período de 07 dias</t>
  </si>
  <si>
    <t>Engenheiro Civil de obras com Encargos Complementares 2 h/unid. x  Total de medições (Considerando instalação e desinstalação)</t>
  </si>
  <si>
    <t>Encanador com Encargos Complementares 6 h/unid. x Total de medições (Considerando instalação e desinstalação)</t>
  </si>
  <si>
    <t>Auxiliar de encanador com Encargos Complementares 6 h/unid. x Total de medições (Considerando instalação e desinstalação)</t>
  </si>
  <si>
    <t>Total de medições</t>
  </si>
  <si>
    <t>Sub-Total 18</t>
  </si>
  <si>
    <t>90775</t>
  </si>
  <si>
    <t>Desenhista Projetista com Encargos Complementares 3 h/unid. x Total de medições (Considerando instalação e desinstalação)</t>
  </si>
  <si>
    <t>Engenheiro Mecânico - MPO - Anexo XIV  8 h/dia x 2 dias (avaliação da estrutura do reservatório metálico)</t>
  </si>
  <si>
    <t>Consultor Externo 8 h/dia x 2 dias</t>
  </si>
  <si>
    <t>Técnico em Segurança do Trabalho com Encargos Complementares 8 h/dia x 22 dias/mês x 12 meses</t>
  </si>
  <si>
    <t>Volume do Tubo</t>
  </si>
  <si>
    <t>Volume da rede</t>
  </si>
  <si>
    <t>Reaterro mecanizado de vala</t>
  </si>
  <si>
    <t>Volume de reaterro = Área Total x Prof. da Vala</t>
  </si>
  <si>
    <t>93360</t>
  </si>
  <si>
    <t>Curva PVC PBA, JE, PB, 90 Graus, DN 50 / DE 60 mm, para rede de água (NBR 10351)</t>
  </si>
  <si>
    <t>Curva PVC PBA, JE, PB, 90 Graus, DN 75 / DE 85 mm, para rede de água (NBR 10351)</t>
  </si>
  <si>
    <t>Serviços Hidráulicos para a Rede e Intervenções</t>
  </si>
  <si>
    <t>Engenheiro Civil de obras com Encargos Complementares 1 h/intervenção x Quantidade de Intervenções</t>
  </si>
  <si>
    <t>Encarregado Geral com Encargos Complementares 2 h/intervenção x Quantidade de Intervenções</t>
  </si>
  <si>
    <t>Encanador com Encargos Complementares 8 h/intervenção x Quantidade de Intervenções</t>
  </si>
  <si>
    <t>Auxiliar de encanador com Encargos Complementares 8 h/intervenção x Quantidade de Intervenções</t>
  </si>
  <si>
    <t>Pedreiro com encargos complementares 4h/caixa abrigo x Quantidade de Caixa abrigo</t>
  </si>
  <si>
    <t>Aj. de Pedreiro com encargos complementares 4 h/caixa abrigo x Quantidade de Caixa abrigo</t>
  </si>
  <si>
    <r>
      <t xml:space="preserve">Sinalização de Segurança - </t>
    </r>
    <r>
      <rPr>
        <b/>
        <u/>
        <sz val="10"/>
        <rFont val="Arial"/>
        <family val="2"/>
      </rPr>
      <t>Intervenções</t>
    </r>
  </si>
  <si>
    <t>Encanador com Encargos Complementares  8 h/dia x 2 dias (M.O. p/ a interligação Adutora e Rede Existente)</t>
  </si>
  <si>
    <t>Auxiliar de encanador com Encargos Complementares 8 h/dia x 2 dias (M.O. p/ a interligação Adutora e Rede Existente)</t>
  </si>
  <si>
    <t>Encanador com Encargos Complementares  8 h/dia x 2 dias (M.O. p/ a interligação Adutora e Reservatório)</t>
  </si>
  <si>
    <t>Auxiliar de encanador com Encargos Complementares 8 h/dia x 2 dias (M.O. p/ a interligação Adutora e Reservatório)</t>
  </si>
  <si>
    <t>Encanador com Encargos Complementares - (M.O. para a interligação reservatório/adutora e adutora/rede existente ø50mm)</t>
  </si>
  <si>
    <t>Auxiliar de encanador com Encargos Complementares - (M.O. para a interligação reservatótio/adutora e adutora/rede existente ø50mm)</t>
  </si>
  <si>
    <t>Volume de Reaterro (m³)</t>
  </si>
  <si>
    <t>M.O. para a interligação adutora a rede existente ø50mm</t>
  </si>
  <si>
    <r>
      <rPr>
        <b/>
        <u/>
        <sz val="9"/>
        <rFont val="Arial"/>
        <family val="2"/>
      </rPr>
      <t>RESUMO</t>
    </r>
    <r>
      <rPr>
        <b/>
        <sz val="9"/>
        <rFont val="Arial"/>
        <family val="2"/>
      </rPr>
      <t xml:space="preserve"> - TRECHO SEM PAVIMENTO + TRECHO COM PAVIMENTO/PASSEIO:</t>
    </r>
  </si>
  <si>
    <t>Reaerro mecanizado de vala</t>
  </si>
  <si>
    <t xml:space="preserve">Reforma de reservatório existente de 300 m³ </t>
  </si>
  <si>
    <t>Aterro mecanizado de vala</t>
  </si>
  <si>
    <t>Contratante: Prefeitura do Muncipio de Ipaussu - SP.</t>
  </si>
  <si>
    <t>Horas</t>
  </si>
  <si>
    <t>REMOÇÃO DO SOLO ARGILOSO INTERNO DO RESERVATÓRIO</t>
  </si>
  <si>
    <t>ESCAVADEIRA HIDRÁULICA SOBRE ESTEIRAS, CAÇAMBA 1,20 M3, PESO OPERACION CHP  
AL 21 T, POTÊNCIA BRUTA 155 HP - CHP DIURNO. AF_06/2014 - SINAPI 88907</t>
  </si>
  <si>
    <t>ENCARREGADO GERAL DE OBRAS (HORISTA) (SINAPI 00004083)</t>
  </si>
  <si>
    <t xml:space="preserve">AJUDANTE ESPECIALIZADO (HORISTA) - 2 profissionais x 8/h/dia (SINAPI 00000242) </t>
  </si>
  <si>
    <t>VALOR - SUB-TOTAL ITEM</t>
  </si>
  <si>
    <t>VALOR GLOBAL</t>
  </si>
  <si>
    <t>COMPOSIÇÃO DE VALOR - CAIXA 2,00 x 2,00 m</t>
  </si>
  <si>
    <t>Prazo médio p/ execução das CXs considerando os serviços de abertura da vala, preparação do lastro e compactação, execução de brocas estruturais, levantamento das paredes, colunas e vergas, lage de cobertura e instalação da mesma.</t>
  </si>
  <si>
    <t>Prazo Total</t>
  </si>
  <si>
    <t>Unidade -CXs</t>
  </si>
  <si>
    <t>Unid.</t>
  </si>
  <si>
    <t>TOTAL CAIXA MACROMEDIDOR OU VRP (definição de diâmetro).</t>
  </si>
  <si>
    <t>COMPOSIÇÃO - MEMORIA DE CALCULO CONSTRUÇÃO CAIXA DIMENSÕES - 2,00m x 2,00m x 2,00m.</t>
  </si>
  <si>
    <t>Composição 03</t>
  </si>
  <si>
    <t>Recuperação do Reservatório (tratamento da superfície e pintura)</t>
  </si>
  <si>
    <t xml:space="preserve">ENCANADOR (HORISTA) - 1 profissional x 8/h/dia (SINAPI </t>
  </si>
  <si>
    <t>Composição 04 - Valor estimativo monetario  - Realocação de Rede</t>
  </si>
  <si>
    <t>Composição 04</t>
  </si>
  <si>
    <t>Rancharia, Março de 2023</t>
  </si>
  <si>
    <t>Adotado banco de preços, SABESP referente ao mês 11/2022, SINAPI (Não-Desonerada) referente ao mês 01/2023 e CDHU 186 referente ao mês 05/22, BDI de Serviços 26,40% e materiais e equipamentos 16,77%.</t>
  </si>
  <si>
    <t>Execução de infraestrutura para as estações remotas, dotadas de eletrodutos, caixas de passagem e aterramentos.</t>
  </si>
  <si>
    <t>1.7</t>
  </si>
  <si>
    <t>1.8</t>
  </si>
  <si>
    <t>1.9</t>
  </si>
  <si>
    <t>1.10</t>
  </si>
  <si>
    <t>Instalação do Macromedidor do Poço - Mão de Obra</t>
  </si>
  <si>
    <t>2.1.1</t>
  </si>
  <si>
    <t>2.1.2</t>
  </si>
  <si>
    <t>2.2</t>
  </si>
  <si>
    <t>2.3</t>
  </si>
  <si>
    <t>3.2.1</t>
  </si>
  <si>
    <t>3.2.2</t>
  </si>
  <si>
    <t>3.2.3</t>
  </si>
  <si>
    <t>3.2.4</t>
  </si>
  <si>
    <t>3.3.1</t>
  </si>
  <si>
    <t>3.3.2</t>
  </si>
  <si>
    <t>3.3.3</t>
  </si>
  <si>
    <t>2.4</t>
  </si>
  <si>
    <t>Implantação do Macromedidor do poço existente, denominado Distrito Industrial II - P01 - Setor 01.</t>
  </si>
  <si>
    <t>Implantação do Reservatório Metalico volume de 200m3, local Rua João Abreu Pestana - Denominado Cocaja II. - Setor 03</t>
  </si>
  <si>
    <t>Recuperação extrutural e pintura do reservatório existente, localizado no Parque dos Brilhantes, R12, rua Tereza de J. Lisboa, 71 - Setor 05</t>
  </si>
  <si>
    <t>CRONOGRAMA FÍSICO FINANCEIRO</t>
  </si>
  <si>
    <t>OBJETO:</t>
  </si>
  <si>
    <t>Itens</t>
  </si>
  <si>
    <t>Descrição das Atividades</t>
  </si>
  <si>
    <t>Mês 01</t>
  </si>
  <si>
    <t>Mês 02</t>
  </si>
  <si>
    <t>Mês 03</t>
  </si>
  <si>
    <t>Mês 04</t>
  </si>
  <si>
    <t>Mês 05</t>
  </si>
  <si>
    <t>Mês 06</t>
  </si>
  <si>
    <t>Acumulado</t>
  </si>
  <si>
    <t>TOTAL (%)</t>
  </si>
  <si>
    <t>Base:</t>
  </si>
  <si>
    <t>Construção da base de apoio e fundações</t>
  </si>
  <si>
    <t>M</t>
  </si>
  <si>
    <t>Implantação de um reservatório metálico 500 m³ - Altura de 16,00metros.</t>
  </si>
  <si>
    <t>Execução de projeto executivo da base e fundações, sondagem e analise do solo, projeto mecânico do reservatório metálico; projeto hidráulico do reservatório e das interligações.(sem considerar BDI)</t>
  </si>
  <si>
    <t>Encarregado Geral com Encargos Complementares 8 h/dia x 2 dia</t>
  </si>
  <si>
    <t>Encanador com Encargos Complementares 8 h/dia x 2 dia x 1 profiss.</t>
  </si>
  <si>
    <t>Auxiliar de encanador com Encargos Complementares 8 h/dia x 2 dia x 1 profiss.</t>
  </si>
  <si>
    <t>Engenheiro Civil de obras com Encargos Complementares 4 h/dia x 2 dia x 1 macromedidores</t>
  </si>
  <si>
    <t>Encanador com Encargos Complementares 8 h/dia x 2 dias x 1 profiss. X 1 macromedidores</t>
  </si>
  <si>
    <t>Auxiliar de encanador com Encargos Complementares 8 h/dia x 2 dias x 1 profiss. x 1 macromedidores</t>
  </si>
  <si>
    <t xml:space="preserve">Contrato: </t>
  </si>
  <si>
    <t>Executado por: Masaki Ikeda</t>
  </si>
  <si>
    <t>Agosto/2023</t>
  </si>
  <si>
    <t>TEMPO ESTIMADO</t>
  </si>
  <si>
    <t>Quant. de estacas</t>
  </si>
  <si>
    <t>Prof. das estacas</t>
  </si>
  <si>
    <t>Estaca escavada mecanicamente, sem fluido estabilizante, com 30 cm de diâmetro, concreto a ser lançado (EXCLUSIVE MOBILIZAÇÃO E DESMOBILIZAÇÃO)</t>
  </si>
  <si>
    <t>Taxa de mobilização e desmobilização de quipamentos para execução de estaca escavada</t>
  </si>
  <si>
    <t>Tx</t>
  </si>
  <si>
    <t>Obs.</t>
  </si>
  <si>
    <t>Onde:</t>
  </si>
  <si>
    <t>Lançamento de concreto por bombeamento (estacas e laje de apoio)</t>
  </si>
  <si>
    <t>Vol. de concreto (m³) = Vol. de concreto p/ as estacas + Vol. de concreto p/ a laje de apoio  ............................................................................</t>
  </si>
  <si>
    <t>Raio</t>
  </si>
  <si>
    <t>Altura da laje</t>
  </si>
  <si>
    <t>Arrasamento mecânico de estaca de concreto armado, diâmetro de até 40 cm</t>
  </si>
  <si>
    <t>Carga Horária = Tempo estimado x 10 horas/dia ..........................................</t>
  </si>
  <si>
    <t>Tempo estimado</t>
  </si>
  <si>
    <t>Caminhão basculante 6 m³, peso bruto total 16.000 KG, carga útil máxima 13.071 KG, distância entre eixos 4,80 m, potência 230 cv inclusive caçambra metálica</t>
  </si>
  <si>
    <t>Vol. de concreto magro (m³) =  Vol. de concreto p/ a laje de apoio  ............................................................................</t>
  </si>
  <si>
    <t>Lastro de concreto magro, aplicado em pisos ou radiers, espessura de 5 cm (laje de apoio)</t>
  </si>
  <si>
    <t>O item em questão já contempla o fornecimento e mão de obra para lançamento do concreto (não fornece o bombeamento), o equipamento perfuratriz para execução das estacas e a armadura em Aço cortado, dobrado e instalado (incluindo o fornecimento do aço);</t>
  </si>
  <si>
    <t>Fôrma curva de madeira - montagem e desmontagem</t>
  </si>
  <si>
    <t>Área de fôrma  (m²) =  Perímetro da laje de apoio x Altura da laje de apoio  ............................................................................</t>
  </si>
  <si>
    <t>Perímetro da laje de apoio</t>
  </si>
  <si>
    <t>Altura da laje de apoio</t>
  </si>
  <si>
    <t>Vol. de concreto (m³) =  Área da laje de apoio x Altura da laje de apoio x % de perda  ............................................................................</t>
  </si>
  <si>
    <t>Concreto Estrutural p/ estruturas em contato com água bruta, água tratada, FCK = 30,0 MPA a/c máx. 0,55 L/KG - mín. de 320 KG de cimento/m³ (Laje de apoio)</t>
  </si>
  <si>
    <t>Lastro de concreto magro, aplicado em pisos ou radiers, espessura de 5 cm (Laje de apoio)</t>
  </si>
  <si>
    <t>Trecho de remoção</t>
  </si>
  <si>
    <t>Larg. da vala</t>
  </si>
  <si>
    <t>Lastro de areia (e=20cm) para envoltória</t>
  </si>
  <si>
    <t>Volume de lastro (m³) = Trecho de remoção x Largura da vala x Esp. de lastro ..........................................</t>
  </si>
  <si>
    <t>Aterro de valas, poços e cavas compactado mecanicamente, sem ontrole do G.C.</t>
  </si>
  <si>
    <t>Volume de aterro (m³) = Extensão da rede x Largura da vala x Prof. da vala ..........................................</t>
  </si>
  <si>
    <t>Extensão de rede</t>
  </si>
  <si>
    <t>Prof. da vala</t>
  </si>
  <si>
    <t>Aterro de valas, poços e cavas compactado mecanicamente, sem controle do G.C.</t>
  </si>
  <si>
    <t>Remoção de entulho, inclusive carga, descarga e transporte a qualquer distância</t>
  </si>
  <si>
    <t>Execução de passeio cimentado e=7cm</t>
  </si>
  <si>
    <t>Demolição de passeio cimentado, de forma manual, sem reaproveitamento</t>
  </si>
  <si>
    <t>Técnico em hidráulica (01 profissional x 8h/dia x 5 dias)</t>
  </si>
  <si>
    <t>Auxiliar de Encanador com Encargos Complementares  (02 profissionais x 8h/dia x 5 dias)</t>
  </si>
  <si>
    <t>Técnico em Hidráulica</t>
  </si>
  <si>
    <t>QUANTIDADE</t>
  </si>
  <si>
    <t>CONJ.</t>
  </si>
  <si>
    <t>Conjunto completo de parafusos para flanges PN 10 DN 150 mm</t>
  </si>
  <si>
    <t>Curva 45° com bolsas e junta elástica JGS DN 150 mm</t>
  </si>
  <si>
    <t>Curva 90° com flanges PN 10 DN 150 mm</t>
  </si>
  <si>
    <t>Flange cego PN 10 DN 150 mm</t>
  </si>
  <si>
    <t>Tubo DEFOFO MPVC 1 MPA DN 150 mm</t>
  </si>
  <si>
    <t>Auxiliar de Pedreiro com Encargos Complementares  (02 profissionais x 8h/dia x 5 dias)</t>
  </si>
  <si>
    <t>Engenheiro Civil de obras com Encargos Complementares  (2h/dia x 5 dias)</t>
  </si>
  <si>
    <t>Pedreiro com Encargos Complementares (02 profissionais x 8h/dia x 5 dias)</t>
  </si>
  <si>
    <t>Encarregado Geral com Encargos Complementares (01 profissional x 8h/dia x 5 dias)</t>
  </si>
  <si>
    <t>Largura da vala</t>
  </si>
  <si>
    <t>Execução de passeio cimentado e=7cm (área de implantação do reservatório)</t>
  </si>
  <si>
    <t>Serviço de arrasamento inclui mão de obra e equipamento (martelo demolidor) para execução do serviço.</t>
  </si>
  <si>
    <t>IMPLANTAÇÃO DE SISTEMA DE AUTOMAÇÃO, MONITORAMENTO DO(S) NÍVEL(IS) DO(S) RESERVATÓRIO(S) E VAZÃO O(S) POÇO(S)</t>
  </si>
  <si>
    <t>Guindauto hidráulico (Implantação e Retirada do container)</t>
  </si>
  <si>
    <t>Engenheiro Civil de obras com Encargos Complementares  (4h/dia x 5 dias)</t>
  </si>
  <si>
    <t>Estaca escavada mecanicamente, sem fluido estabilizante, com 30 cm de diâmetro, concreto a ser lançado (Exclusive Mobilização e Desmobilização)</t>
  </si>
  <si>
    <t>ACUMULADO R$</t>
  </si>
  <si>
    <t>TOTAL GLOBAL R$</t>
  </si>
  <si>
    <t>PLANILHA ORÇAMENTÁRIA DE PREÇOS</t>
  </si>
  <si>
    <t>ÁREA URBANA DO MUNICÍPIO DE ITAPOLIS - SP</t>
  </si>
  <si>
    <t>Locação de container 2,30 x 6,00 m, alt. 2,50 m, com 1 sanitário, para escritório, completo, sem divisórias internas</t>
  </si>
  <si>
    <t>Auxiliar de topografo com encargos complementares</t>
  </si>
  <si>
    <t>Desenhista detalhista com encargos complementares</t>
  </si>
  <si>
    <t>Retroescavadeira sobre rodas com carregadeira, tração 4x4, potência líq. 88 hp, caçamba carreg. Cap. Mín. 1 m3, caçamba retro cap. 0,26 m3,peso operacional mín. 6.674 kg, profundidade escavação máx. 4,37 m - chp diurno.</t>
  </si>
  <si>
    <t>Compactação mecânica do solo</t>
  </si>
  <si>
    <t>2.2.1</t>
  </si>
  <si>
    <t>2.2.2</t>
  </si>
  <si>
    <t>2.2.3</t>
  </si>
  <si>
    <t>2.3.1</t>
  </si>
  <si>
    <t>2.3.2</t>
  </si>
  <si>
    <t>2.3.3</t>
  </si>
  <si>
    <t>2.3.4</t>
  </si>
  <si>
    <t>2.3.5</t>
  </si>
  <si>
    <t>2.3.6</t>
  </si>
  <si>
    <t>2.3.7</t>
  </si>
  <si>
    <t>2.3.8</t>
  </si>
  <si>
    <t>2.3.9</t>
  </si>
  <si>
    <t>2.3.10</t>
  </si>
  <si>
    <t>2.3.11</t>
  </si>
  <si>
    <t>2.3.12</t>
  </si>
  <si>
    <t>2.4.1</t>
  </si>
  <si>
    <t>2.4.2</t>
  </si>
  <si>
    <t>2.4.3</t>
  </si>
  <si>
    <t>2.4.4</t>
  </si>
  <si>
    <t>3.1.1</t>
  </si>
  <si>
    <t>3.1.2</t>
  </si>
  <si>
    <t>3.1.3</t>
  </si>
  <si>
    <t>Mão de obra para a instalação da Lista nº 01</t>
  </si>
  <si>
    <t>Mão de obra para a instalação da Lista nº 02</t>
  </si>
  <si>
    <t>Sub-Total 1</t>
  </si>
  <si>
    <t>Sub-Total 2</t>
  </si>
  <si>
    <t>Sub-Total 4</t>
  </si>
  <si>
    <t>Sub-Total 5</t>
  </si>
  <si>
    <t>3.4.1</t>
  </si>
  <si>
    <t xml:space="preserve">Caixa de alvenaria 1,00x1,00x1,50m </t>
  </si>
  <si>
    <t>Caixa de alvenaria do extravasor e limpeza</t>
  </si>
  <si>
    <t>Mão de obra para a instalação da Lista nº 03 extravasor e limpeza</t>
  </si>
  <si>
    <t>Fornecimento transmissor de pressão do tipo hidrostatico para a medição e controle do nível a ser implantado no reservatório</t>
  </si>
  <si>
    <t xml:space="preserve">Integração do sensor de nível na estação remota existente (Adequação de painel, fonte, CLP) </t>
  </si>
  <si>
    <t>BAIRRO JARDIM DOIS MIL NO MUNICÍPIO DE ITAPOLIS  - SP</t>
  </si>
  <si>
    <t>Readequação de sistema de automação o monitoramento do nível do reservatório de 500m³</t>
  </si>
  <si>
    <t>Unid</t>
  </si>
  <si>
    <t>Tê com flanges PN 10 DN 150 x 150 mm</t>
  </si>
  <si>
    <t>Extremidade bolsa JE2GS / flange PN 10 DN 150 mm L=135 mm</t>
  </si>
  <si>
    <t>Extremidade ponta / flange PN 10 DN 150 mm L=700 mm</t>
  </si>
  <si>
    <t>Luva de correr com bolsa junta mecânica ferro fundido DN 150 mm</t>
  </si>
  <si>
    <t xml:space="preserve"> Válvula de gaveta em ferro dúctil com flange, classe PN‐10, DN= 150 mm, com corpo curto e volante, ref. Barbará ou equivalente</t>
  </si>
  <si>
    <t>Implantação de reservatório metálico 500m³</t>
  </si>
  <si>
    <t>Tubo com flanges PN 10 DN 150 mm - L = 1000 mm</t>
  </si>
  <si>
    <t>%</t>
  </si>
  <si>
    <t xml:space="preserve">Medições de parâmetros elétricos e hidráulicos do motor-bomba do poço 06 profundo, com relatórios de eficiência energética </t>
  </si>
  <si>
    <t>Monitoramento de vazão e pressão, aferição e calibração por processo pitométrico ou ultrassónico, utilizando data logger com diferencial de pressão e/ou medidor ultrassónico, prazo mínimo de monitoramento 07 dias consecutivos</t>
  </si>
  <si>
    <t>Medição de consumo de energia elétrica e determinação das curvas de potência - eficiência energética</t>
  </si>
  <si>
    <t>Sub-Total 3</t>
  </si>
  <si>
    <t>Inteligações de redes de Chegada do novo reservatório de 500 m³</t>
  </si>
  <si>
    <t>IMPLANTAÇÃO DE RESERVATÓRIO METÁLICO 500M³</t>
  </si>
  <si>
    <t>READEQUAÇÃO DE SISTEMA DE AUTOMAÇÃO O MONITORAMENTO DO NÍVEL DO RESERVATÓRIO DE 500M³</t>
  </si>
  <si>
    <t>MEDIÇÕES DE PARÂMETROS ELÉTRICOS E HIDRÁULICOS DO MOTOR-BOMBA DO POÇO 06 PROFUNDO, COM RELATÓRIOS DE EFICIÊNCIA ENERGÉTICA</t>
  </si>
  <si>
    <t>Serviços preliminares</t>
  </si>
  <si>
    <t>Retroescavadeira sobre rodas com carregadeira, tração 4x4, potência líq. 88 hp, caçamba carreg. Cap. Mín. 1 m3, caçamba retro cap. 0,26 m3,peso operacional mín. 6.674 kg, profundidade escavação máx. 4,37 m - chp diurno.(Limpeza da área)</t>
  </si>
  <si>
    <t xml:space="preserve">Executado por: </t>
  </si>
  <si>
    <t>Março/2024</t>
  </si>
  <si>
    <t>Escata Escavada (m) = Quantidade de estacas x Profundidade das Estacas x Perdas  ............................................................................</t>
  </si>
  <si>
    <t>Profundidade das estacas</t>
  </si>
  <si>
    <t xml:space="preserve">% de perda </t>
  </si>
  <si>
    <t>% de perda</t>
  </si>
  <si>
    <t>% de perdas</t>
  </si>
  <si>
    <t>Horas de trabalho do topógrafo (h) = (Horas trabalhadas/dia x total de dias da obra)</t>
  </si>
  <si>
    <t>Horas trabalhadas por dia = 8h;</t>
  </si>
  <si>
    <t>Topógrafo com encargos complementares</t>
  </si>
  <si>
    <t>Horas de trabalho do auxiliar de topógrafo (h) = (Horas trabalhadas/dia x total de dias da obra)</t>
  </si>
  <si>
    <t>Horas de trabalho do topógrafo (h) = 8h/dia x 04 dias = 32,00 h</t>
  </si>
  <si>
    <t>Horas de trabalho do auxiliar de topógrafo (h) = 8h/dia x 04 dias = 32,00 h</t>
  </si>
  <si>
    <t>Total de dias da obra = 04 dias.</t>
  </si>
  <si>
    <t>Horas de trabalho do desenhista (h) = (Horas trabalhadas/dia x total de dias da obra)</t>
  </si>
  <si>
    <t>Total de dias da obra = 02 dias.</t>
  </si>
  <si>
    <t>Horas de trabalho do desenhista (h) = 8h/dia x 02 dias = 16,00 h</t>
  </si>
  <si>
    <t>Compactação mecânica do solo = Área da base</t>
  </si>
  <si>
    <t>Mão de obra para construção da base de apoio do Reservatório 500 m³</t>
  </si>
  <si>
    <t>Armação em aço Aço CA-50  - Fornecimento, corte, dobra e armação (Estacas e Base)</t>
  </si>
  <si>
    <t>Reaterro manual de valas com compactação mecanizada (Retroescavadeira)</t>
  </si>
  <si>
    <t>Interligações Hidraulicas</t>
  </si>
  <si>
    <t>Inteligações da Saída do reservatório de 500 m³ com as redes existentes de distribuição.</t>
  </si>
  <si>
    <t>Lista nº 01 - Materiais hidraulicos da saída do novo reservatório de 500m³</t>
  </si>
  <si>
    <t>Lista nº 02 - Materiais hidraulicos da entrada do novo reservatório de 500m³</t>
  </si>
  <si>
    <t>Lista nº 03 - Materiais hidraulicos do extravasor e limpeza do novo reservatório de 500m³</t>
  </si>
  <si>
    <t>Fornecimento de materiais para o  novo reservatório de 500m3 a ser executado</t>
  </si>
  <si>
    <t>3.4.2</t>
  </si>
  <si>
    <t>3.4.3</t>
  </si>
  <si>
    <t>3.4.4</t>
  </si>
  <si>
    <t>3.4.5</t>
  </si>
  <si>
    <t>3.4.6</t>
  </si>
  <si>
    <t>3.5.1</t>
  </si>
  <si>
    <t>3.5.2</t>
  </si>
  <si>
    <t>3.5.3</t>
  </si>
  <si>
    <t>3.6.1</t>
  </si>
  <si>
    <t>3.6.2</t>
  </si>
  <si>
    <t>3.6.3</t>
  </si>
  <si>
    <t>3.7.1</t>
  </si>
  <si>
    <t>3.2.5</t>
  </si>
  <si>
    <t>3.2.6</t>
  </si>
  <si>
    <t xml:space="preserve">Vol. de concreto estacas </t>
  </si>
  <si>
    <t xml:space="preserve">Laje de apoio  </t>
  </si>
  <si>
    <t>Quantidade de aço (Kg) = Peso do aço de acordo com projeto estrutural (estacas e base)  ............................................................................</t>
  </si>
  <si>
    <t>Aço CA-50 ø10mm (base)</t>
  </si>
  <si>
    <t>Aço CA-50 ø5mm (estaca)</t>
  </si>
  <si>
    <t>Aço CA-50 ø12,5mm (estaca)</t>
  </si>
  <si>
    <t>Quantidade de Aço CA-50 conforme projeto estrutural das estacas e base</t>
  </si>
  <si>
    <t xml:space="preserve">Laje de apoio </t>
  </si>
  <si>
    <t>Volume de concreto voltado para laje de apoio (base).</t>
  </si>
  <si>
    <t xml:space="preserve">Engenheiro Civil de obras </t>
  </si>
  <si>
    <t>Auxiliar de pedreiro</t>
  </si>
  <si>
    <t xml:space="preserve">Encarregado Geral </t>
  </si>
  <si>
    <t>Engenheiro Civil de obras com Encargos Complementares  (2h/dia x 15 dias)</t>
  </si>
  <si>
    <t>Encarregado Geral com Encargos Complementares (01 profissional x 8h/dia x 15 dias)</t>
  </si>
  <si>
    <t>Pedreiro com Encargos Complementares (02 profissionais x 8h/dia x 15 dias)</t>
  </si>
  <si>
    <t>Auxiliar de Pedreiro com Encargos Complementares  (02 profissionais x 8h/dia x 15 dias)</t>
  </si>
  <si>
    <t>Área de demolição de passeio cimentado = Largura da área x Comprimento da área ..........................................</t>
  </si>
  <si>
    <t>Carga Horária = Tempo estimado x 8 horas/dia ..........................................</t>
  </si>
  <si>
    <t>Espessura de lastro</t>
  </si>
  <si>
    <t>Volume de bota fora (m³) = Extensão da rede x Largura da vala x Espessura ..........................................</t>
  </si>
  <si>
    <t xml:space="preserve">Auxiliar de encanador </t>
  </si>
  <si>
    <t>Engenheiro Civil de obras</t>
  </si>
  <si>
    <t>Volume de bota fora (m³) = Extensão da rede x Largura da vala x Espessura + Área do passeio cimentado..........................................</t>
  </si>
  <si>
    <t>Área do passeio cimentado</t>
  </si>
  <si>
    <t>3.6.4</t>
  </si>
  <si>
    <t xml:space="preserve">Caixa de alvenaria 1,00 x 1,00 x 1,50m  .......................................................................................                  </t>
  </si>
  <si>
    <t>Carga Horária = Tempo estimado x 10 horas/dia ..........................................................................</t>
  </si>
  <si>
    <t>Fornecimento transmissores de pressão para medição do nível dos reservatórios(1 und no reservatório a ser construido de 500m3)</t>
  </si>
  <si>
    <t>Execução de infraestrutura para a estação remota, instalação do sensor de nível, eletrodutos para a passagem dos cabos de dados e eletricos, incluindo caixas de passagem e aterramentos</t>
  </si>
  <si>
    <t>INSTALAÇÕES HIDRÁULICAS</t>
  </si>
  <si>
    <t>Guindauto hidráulico, capacidade maxima de carga 6200 kg, momento máximo de carga 11,7 TM, alcance máximo horizontal 9,70 m, inclusive caminhão toco PBT 16.000 kg, potência de 189 cv</t>
  </si>
  <si>
    <t>Fornecimento e Montagem de Reservatório Metálico 500 m³ - Apoiado, H = 16,00 m (sem considerar BDI) COMPOSIÇÃO 01</t>
  </si>
  <si>
    <t>Eng.º Gabriel Mazzo Puzzi</t>
  </si>
  <si>
    <t>Responsável Técnico</t>
  </si>
  <si>
    <t>CREA: 507.066.857-2</t>
  </si>
  <si>
    <t>Fornecimento e Montagem de Reservatório Metálico 500 m³ - Apoiado, H = 16,00 m.</t>
  </si>
  <si>
    <t>Execução de projeto executivo da base e fundações, sondagem de analise do solo, projeto mecânico do reservatório metálico; projeto hidráulico do reservatório e das interligações.</t>
  </si>
  <si>
    <t>Locação topográfica e Acompanhamento de Teste hidrostatico</t>
  </si>
  <si>
    <t>Engenheiro Civil de obras com Encargos Complementares (4 h/dia x 1 dia)</t>
  </si>
  <si>
    <t>Macromedidor de vazão eletromagnético DN 150mm</t>
  </si>
  <si>
    <t>Acessórios para Flange PN10 DN 150mm</t>
  </si>
  <si>
    <t>Arruela de Borracha DN 150mm</t>
  </si>
  <si>
    <t>Auxiliar de Encanador com Encargos Complementares  (02 profissionais x 8h/dia x 1 dia)</t>
  </si>
  <si>
    <t>Técnico em hidráulica (01 profissional x 8h/dia x 1 dia)</t>
  </si>
  <si>
    <t>Encarregado Geral com Encargos Complementares (8 h/dia x 1 dia)</t>
  </si>
  <si>
    <t xml:space="preserve">Registro TAP 1" </t>
  </si>
  <si>
    <t xml:space="preserve">Colar de tomada DN 150mm </t>
  </si>
  <si>
    <t>Auxiliar de encanador com encargos complementares (8 h/dia x 2 dias x 01 profiss.)</t>
  </si>
  <si>
    <t>Engenheiro Civil de obras com encargos complementares (4 h/dia x 1 dia)</t>
  </si>
  <si>
    <t>3.8.1</t>
  </si>
  <si>
    <t>3.8.2</t>
  </si>
  <si>
    <t>3.8.3</t>
  </si>
  <si>
    <t>3.9.1</t>
  </si>
  <si>
    <t>3.9.4</t>
  </si>
  <si>
    <t>3.9.2</t>
  </si>
  <si>
    <t>3.9.3</t>
  </si>
  <si>
    <t>3.10.1</t>
  </si>
  <si>
    <t>3.10.2</t>
  </si>
  <si>
    <t>3.10.3</t>
  </si>
  <si>
    <t>Contratação de empresa especializada na execução de reservatório de 500m³ e obras hidráulicas no Bairro Jardim 2000, no município de Itápolis/SP, com o fornecimento de material, equipamentos e mão de obra qualificada.</t>
  </si>
  <si>
    <t>Engenheiro Civil de obras com Encargos Complementares (1 h/intervenção x 3 intervenções)</t>
  </si>
  <si>
    <t>Fornecimento de Macromedidor de vazão elétromagnético para o poço</t>
  </si>
  <si>
    <t>Aferição e calibração de macromedidor do poço com pitometria</t>
  </si>
  <si>
    <t>Instalação de Macromedidor de vazão do Poço</t>
  </si>
  <si>
    <t>Encarregado Geral</t>
  </si>
  <si>
    <t>Técnico em hidráulica</t>
  </si>
  <si>
    <t>Técnico em hidráulica (01 profissional x 8h/dia x 2 dia)</t>
  </si>
  <si>
    <t>3.8.4</t>
  </si>
  <si>
    <t>3.8.5</t>
  </si>
  <si>
    <t xml:space="preserve">Inclinação da base </t>
  </si>
  <si>
    <t>(Um Milhões, trezentos e vinte e dois Mil, setecentos e oitenta e dois Reais e dois Centavos).</t>
  </si>
  <si>
    <t>Itapólis, 23 de maio de 2024</t>
  </si>
</sst>
</file>

<file path=xl/styles.xml><?xml version="1.0" encoding="utf-8"?>
<styleSheet xmlns="http://schemas.openxmlformats.org/spreadsheetml/2006/main">
  <numFmts count="17">
    <numFmt numFmtId="44" formatCode="_-&quot;R$&quot;\ * #,##0.00_-;\-&quot;R$&quot;\ * #,##0.00_-;_-&quot;R$&quot;\ * &quot;-&quot;??_-;_-@_-"/>
    <numFmt numFmtId="43" formatCode="_-* #,##0.00_-;\-* #,##0.00_-;_-* &quot;-&quot;??_-;_-@_-"/>
    <numFmt numFmtId="164" formatCode="_(* #,##0.00_);_(* \(#,##0.00\);_(* &quot;-&quot;??_);_(@_)"/>
    <numFmt numFmtId="165" formatCode="_(&quot;R$&quot;* #,##0.00_);_(&quot;R$&quot;* \(#,##0.00\);_(&quot;R$&quot;* &quot;-&quot;??_);_(@_)"/>
    <numFmt numFmtId="166" formatCode="0.0"/>
    <numFmt numFmtId="167" formatCode="&quot;R$ &quot;#,##0.00"/>
    <numFmt numFmtId="168" formatCode="&quot;R$&quot;\ #,##0.00"/>
    <numFmt numFmtId="169" formatCode="d/m;@"/>
    <numFmt numFmtId="170" formatCode="_-[$R$-416]\ * #,##0.00_-;\-[$R$-416]\ * #,##0.00_-;_-[$R$-416]\ * &quot;-&quot;??_-;_-@_-"/>
    <numFmt numFmtId="171" formatCode="_(&quot;Cr$&quot;* #,##0.00_);_(&quot;Cr$&quot;* \(#,##0.00\);_(&quot;Cr$&quot;* &quot;-&quot;??_);_(@_)"/>
    <numFmt numFmtId="172" formatCode="_-* #,##0.00_-;\-* #,##0.00_-;_-* \-??_-;_-@_-"/>
    <numFmt numFmtId="173" formatCode="&quot;Cr$&quot;\ #,##0.00_);[Red]\(&quot;Cr$&quot;\ #,##0.00\)"/>
    <numFmt numFmtId="174" formatCode="_(&quot;R$ &quot;* #,##0.00_);_(&quot;R$ &quot;* \(#,##0.00\);_(&quot;R$ &quot;* &quot;-&quot;??_);_(@_)"/>
    <numFmt numFmtId="175" formatCode="_-&quot;R$&quot;* #,##0.00_-;\-&quot;R$&quot;* #,##0.00_-;_-&quot;R$&quot;* &quot;-&quot;??_-;_-@_-"/>
    <numFmt numFmtId="176" formatCode="0.000"/>
    <numFmt numFmtId="177" formatCode="_([$€-2]* #,##0.00_);_([$€-2]* \(#,##0.00\);_([$€-2]* &quot;-&quot;??_)"/>
    <numFmt numFmtId="178" formatCode="0.000%"/>
  </numFmts>
  <fonts count="11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4"/>
      <name val="Arial"/>
      <family val="2"/>
    </font>
    <font>
      <b/>
      <sz val="10"/>
      <name val="Arial"/>
      <family val="2"/>
    </font>
    <font>
      <b/>
      <sz val="12"/>
      <name val="Arial"/>
      <family val="2"/>
    </font>
    <font>
      <b/>
      <sz val="9"/>
      <name val="Arial"/>
      <family val="2"/>
    </font>
    <font>
      <b/>
      <sz val="14"/>
      <name val="Arial"/>
      <family val="2"/>
    </font>
    <font>
      <sz val="9"/>
      <name val="Arial"/>
      <family val="2"/>
    </font>
    <font>
      <sz val="10"/>
      <color theme="1"/>
      <name val="Arial"/>
      <family val="2"/>
    </font>
    <font>
      <b/>
      <sz val="10"/>
      <color theme="1"/>
      <name val="Arial"/>
      <family val="2"/>
    </font>
    <font>
      <b/>
      <sz val="9"/>
      <color theme="1"/>
      <name val="Arial"/>
      <family val="2"/>
    </font>
    <font>
      <i/>
      <sz val="11"/>
      <color rgb="FF7F7F7F"/>
      <name val="Calibri"/>
      <family val="2"/>
      <scheme val="minor"/>
    </font>
    <font>
      <b/>
      <sz val="12"/>
      <color theme="1"/>
      <name val="Arial"/>
      <family val="2"/>
    </font>
    <font>
      <sz val="8"/>
      <name val="Arial"/>
      <family val="2"/>
      <charset val="1"/>
    </font>
    <font>
      <sz val="10"/>
      <name val="Arial"/>
      <family val="2"/>
      <charset val="1"/>
    </font>
    <font>
      <b/>
      <sz val="12"/>
      <name val="Arial"/>
      <family val="2"/>
      <charset val="1"/>
    </font>
    <font>
      <b/>
      <sz val="12"/>
      <color rgb="FFFFFF00"/>
      <name val="Arial"/>
      <family val="2"/>
      <charset val="1"/>
    </font>
    <font>
      <b/>
      <sz val="8"/>
      <name val="Arial"/>
      <family val="2"/>
      <charset val="1"/>
    </font>
    <font>
      <b/>
      <u/>
      <sz val="8"/>
      <name val="Arial"/>
      <family val="2"/>
      <charset val="1"/>
    </font>
    <font>
      <sz val="12"/>
      <name val="Arial"/>
      <family val="2"/>
    </font>
    <font>
      <b/>
      <sz val="12"/>
      <color rgb="FFFF0000"/>
      <name val="Arial"/>
      <family val="2"/>
    </font>
    <font>
      <b/>
      <sz val="12"/>
      <color theme="6" tint="-0.249977111117893"/>
      <name val="Arial"/>
      <family val="2"/>
    </font>
    <font>
      <sz val="10"/>
      <color rgb="FF000000"/>
      <name val="Times New Roman"/>
      <family val="1"/>
    </font>
    <font>
      <sz val="10"/>
      <color indexed="8"/>
      <name val="Arial"/>
      <family val="2"/>
    </font>
    <font>
      <sz val="11"/>
      <color indexed="8"/>
      <name val="Calibri"/>
      <family val="2"/>
      <charset val="1"/>
    </font>
    <font>
      <sz val="10"/>
      <name val="MS Sans Serif"/>
      <family val="2"/>
    </font>
    <font>
      <b/>
      <sz val="15"/>
      <color indexed="62"/>
      <name val="Calibri"/>
      <family val="2"/>
    </font>
    <font>
      <sz val="8"/>
      <name val="Arial"/>
      <family val="2"/>
    </font>
    <font>
      <b/>
      <sz val="8"/>
      <name val="Arial"/>
      <family val="2"/>
    </font>
    <font>
      <b/>
      <sz val="8"/>
      <color rgb="FFFF0000"/>
      <name val="Arial"/>
      <family val="2"/>
    </font>
    <font>
      <i/>
      <sz val="9"/>
      <name val="Arial"/>
      <family val="2"/>
    </font>
    <font>
      <b/>
      <sz val="9"/>
      <name val="Calibri"/>
      <family val="2"/>
    </font>
    <font>
      <b/>
      <sz val="11"/>
      <color theme="1"/>
      <name val="Calibri"/>
      <family val="2"/>
      <scheme val="minor"/>
    </font>
    <font>
      <b/>
      <sz val="11"/>
      <color rgb="FFFF0000"/>
      <name val="Calibri"/>
      <family val="2"/>
      <scheme val="minor"/>
    </font>
    <font>
      <sz val="9"/>
      <color indexed="81"/>
      <name val="Tahoma"/>
      <family val="2"/>
    </font>
    <font>
      <b/>
      <sz val="9"/>
      <color indexed="81"/>
      <name val="Tahoma"/>
      <family val="2"/>
    </font>
    <font>
      <sz val="8"/>
      <name val="Arial"/>
      <family val="2"/>
    </font>
    <font>
      <b/>
      <sz val="11"/>
      <color theme="1"/>
      <name val="Arial Narrow"/>
      <family val="2"/>
    </font>
    <font>
      <sz val="11"/>
      <color theme="1"/>
      <name val="Arial Narrow"/>
      <family val="2"/>
    </font>
    <font>
      <sz val="11"/>
      <color rgb="FF202124"/>
      <name val="Arial"/>
      <family val="2"/>
    </font>
    <font>
      <b/>
      <sz val="10"/>
      <color rgb="FFFF0000"/>
      <name val="Arial"/>
      <family val="2"/>
    </font>
    <font>
      <sz val="10"/>
      <color rgb="FFFF0000"/>
      <name val="Arial"/>
      <family val="2"/>
    </font>
    <font>
      <b/>
      <sz val="11"/>
      <name val="Arial Narrow"/>
      <family val="2"/>
    </font>
    <font>
      <b/>
      <sz val="14"/>
      <name val="Arial Narrow"/>
      <family val="2"/>
    </font>
    <font>
      <sz val="11"/>
      <name val="Arial Narrow"/>
      <family val="2"/>
    </font>
    <font>
      <sz val="10"/>
      <color indexed="81"/>
      <name val="Tahoma"/>
      <family val="2"/>
    </font>
    <font>
      <b/>
      <sz val="11"/>
      <name val="Arial"/>
      <family val="2"/>
    </font>
    <font>
      <sz val="9"/>
      <color theme="1"/>
      <name val="Arial"/>
      <family val="2"/>
    </font>
    <font>
      <sz val="9"/>
      <color theme="1"/>
      <name val="Arial Narrow"/>
      <family val="2"/>
    </font>
    <font>
      <b/>
      <sz val="8"/>
      <color theme="1"/>
      <name val="Arial"/>
      <family val="2"/>
    </font>
    <font>
      <sz val="9"/>
      <color theme="1"/>
      <name val="Calibri"/>
      <family val="2"/>
      <scheme val="minor"/>
    </font>
    <font>
      <b/>
      <sz val="9"/>
      <color rgb="FFFF0000"/>
      <name val="Calibri"/>
      <family val="2"/>
      <scheme val="minor"/>
    </font>
    <font>
      <sz val="8"/>
      <color theme="1"/>
      <name val="Arial"/>
      <family val="2"/>
    </font>
    <font>
      <b/>
      <sz val="9"/>
      <color rgb="FFFF0000"/>
      <name val="Arial"/>
      <family val="2"/>
    </font>
    <font>
      <b/>
      <u/>
      <sz val="9"/>
      <color theme="1"/>
      <name val="Arial"/>
      <family val="2"/>
    </font>
    <font>
      <sz val="9"/>
      <color rgb="FFFF0000"/>
      <name val="Arial"/>
      <family val="2"/>
    </font>
    <font>
      <b/>
      <u/>
      <sz val="10"/>
      <name val="Arial"/>
      <family val="2"/>
    </font>
    <font>
      <b/>
      <u/>
      <sz val="9"/>
      <name val="Arial"/>
      <family val="2"/>
    </font>
    <font>
      <b/>
      <u/>
      <sz val="11"/>
      <name val="Arial"/>
      <family val="2"/>
    </font>
    <font>
      <sz val="11"/>
      <color theme="1"/>
      <name val="Tahoma"/>
      <family val="2"/>
    </font>
    <font>
      <b/>
      <sz val="11"/>
      <color theme="1"/>
      <name val="Tahoma"/>
      <family val="2"/>
    </font>
    <font>
      <b/>
      <i/>
      <sz val="11"/>
      <color theme="1"/>
      <name val="Tahoma"/>
      <family val="2"/>
    </font>
    <font>
      <b/>
      <sz val="10"/>
      <color indexed="81"/>
      <name val="Tahoma"/>
      <family val="2"/>
    </font>
    <font>
      <sz val="8"/>
      <name val="Arial"/>
      <family val="2"/>
    </font>
    <font>
      <sz val="9"/>
      <color indexed="81"/>
      <name val="Segoe UI"/>
      <family val="2"/>
    </font>
    <font>
      <b/>
      <sz val="9"/>
      <color indexed="81"/>
      <name val="Segoe UI"/>
      <family val="2"/>
    </font>
    <font>
      <b/>
      <sz val="11"/>
      <color rgb="FFFF0000"/>
      <name val="Arial"/>
      <family val="2"/>
    </font>
    <font>
      <u/>
      <sz val="10"/>
      <color theme="10"/>
      <name val="Arial"/>
      <family val="2"/>
    </font>
    <font>
      <sz val="10"/>
      <name val="Arial"/>
      <family val="2"/>
    </font>
    <font>
      <sz val="11"/>
      <color rgb="FF9C0006"/>
      <name val="Calibri"/>
      <family val="2"/>
      <scheme val="minor"/>
    </font>
    <font>
      <sz val="10"/>
      <color rgb="FF000000"/>
      <name val="Arial"/>
      <family val="2"/>
    </font>
    <font>
      <sz val="11"/>
      <color theme="1"/>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8"/>
      <name val="Times New Roman"/>
      <family val="1"/>
    </font>
    <font>
      <u/>
      <sz val="7.5"/>
      <color indexed="12"/>
      <name val="Arial"/>
      <family val="2"/>
    </font>
    <font>
      <u/>
      <sz val="11"/>
      <color theme="10"/>
      <name val="Calibri"/>
      <family val="2"/>
      <scheme val="minor"/>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sz val="11"/>
      <color theme="1"/>
      <name val="Arial"/>
      <family val="2"/>
    </font>
    <font>
      <b/>
      <sz val="11"/>
      <color theme="1"/>
      <name val="Arial"/>
      <family val="2"/>
    </font>
    <font>
      <b/>
      <sz val="10"/>
      <color theme="1"/>
      <name val="Arial Narrow"/>
      <family val="2"/>
    </font>
    <font>
      <sz val="10"/>
      <color theme="1"/>
      <name val="Arial Narrow"/>
      <family val="2"/>
    </font>
    <font>
      <b/>
      <sz val="10"/>
      <name val="Arial Narrow"/>
      <family val="2"/>
    </font>
    <font>
      <b/>
      <sz val="8"/>
      <color rgb="FF002060"/>
      <name val="Arial"/>
      <family val="2"/>
    </font>
    <font>
      <sz val="10"/>
      <color rgb="FF202124"/>
      <name val="Arial"/>
      <family val="2"/>
    </font>
    <font>
      <sz val="11"/>
      <name val="Arial"/>
      <family val="2"/>
    </font>
    <font>
      <b/>
      <sz val="11"/>
      <color rgb="FF002060"/>
      <name val="Arial"/>
      <family val="2"/>
    </font>
    <font>
      <sz val="11"/>
      <color rgb="FF000000"/>
      <name val="Arial"/>
      <family val="2"/>
    </font>
  </fonts>
  <fills count="3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B3C5DE"/>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B3C5DE"/>
        <bgColor rgb="FFB9CDE5"/>
      </patternFill>
    </fill>
    <fill>
      <patternFill patternType="solid">
        <fgColor rgb="FFDCE6F2"/>
        <bgColor rgb="FFDDDDDD"/>
      </patternFill>
    </fill>
    <fill>
      <patternFill patternType="solid">
        <fgColor theme="6"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indexed="10"/>
        <bgColor indexed="60"/>
      </patternFill>
    </fill>
    <fill>
      <patternFill patternType="solid">
        <fgColor theme="0" tint="-0.14999847407452621"/>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12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bottom/>
      <diagonal/>
    </border>
    <border>
      <left style="thin">
        <color theme="0"/>
      </left>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right style="thin">
        <color indexed="64"/>
      </right>
      <top style="thin">
        <color theme="0"/>
      </top>
      <bottom/>
      <diagonal/>
    </border>
    <border>
      <left style="thin">
        <color indexed="64"/>
      </left>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medium">
        <color indexed="64"/>
      </left>
      <right style="thin">
        <color theme="0"/>
      </right>
      <top/>
      <bottom style="medium">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right style="thin">
        <color theme="0"/>
      </right>
      <top/>
      <bottom style="thin">
        <color theme="0"/>
      </bottom>
      <diagonal/>
    </border>
    <border>
      <left style="thin">
        <color indexed="64"/>
      </left>
      <right style="thin">
        <color theme="0"/>
      </right>
      <top/>
      <bottom style="thin">
        <color theme="0"/>
      </bottom>
      <diagonal/>
    </border>
    <border>
      <left style="thin">
        <color theme="0"/>
      </left>
      <right/>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indexed="64"/>
      </left>
      <right style="thin">
        <color theme="0"/>
      </right>
      <top/>
      <bottom/>
      <diagonal/>
    </border>
    <border>
      <left style="thin">
        <color indexed="64"/>
      </left>
      <right style="thin">
        <color theme="0"/>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indexed="64"/>
      </left>
      <right/>
      <top style="thin">
        <color theme="0"/>
      </top>
      <bottom style="thin">
        <color indexed="64"/>
      </bottom>
      <diagonal/>
    </border>
    <border>
      <left style="thin">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right/>
      <top style="medium">
        <color indexed="64"/>
      </top>
      <bottom style="thin">
        <color theme="0"/>
      </bottom>
      <diagonal/>
    </border>
    <border>
      <left/>
      <right style="thin">
        <color indexed="64"/>
      </right>
      <top style="medium">
        <color indexed="64"/>
      </top>
      <bottom style="thin">
        <color theme="0"/>
      </bottom>
      <diagonal/>
    </border>
    <border>
      <left style="thin">
        <color theme="0"/>
      </left>
      <right/>
      <top/>
      <bottom style="medium">
        <color indexed="64"/>
      </bottom>
      <diagonal/>
    </border>
    <border>
      <left/>
      <right style="thin">
        <color theme="0"/>
      </right>
      <top style="medium">
        <color indexed="64"/>
      </top>
      <bottom style="thin">
        <color theme="0"/>
      </bottom>
      <diagonal/>
    </border>
    <border>
      <left/>
      <right style="medium">
        <color indexed="64"/>
      </right>
      <top style="thin">
        <color theme="0"/>
      </top>
      <bottom style="thin">
        <color indexed="64"/>
      </bottom>
      <diagonal/>
    </border>
    <border>
      <left style="thin">
        <color theme="0"/>
      </left>
      <right style="thin">
        <color theme="0"/>
      </right>
      <top style="medium">
        <color indexed="64"/>
      </top>
      <bottom style="thin">
        <color theme="0"/>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right/>
      <top/>
      <bottom style="thick">
        <color indexed="49"/>
      </bottom>
      <diagonal/>
    </border>
    <border>
      <left style="thin">
        <color theme="0"/>
      </left>
      <right style="thin">
        <color indexed="64"/>
      </right>
      <top style="thin">
        <color indexed="64"/>
      </top>
      <bottom/>
      <diagonal/>
    </border>
    <border>
      <left style="thin">
        <color theme="0"/>
      </left>
      <right/>
      <top/>
      <bottom style="thin">
        <color theme="0"/>
      </bottom>
      <diagonal/>
    </border>
    <border>
      <left style="thin">
        <color theme="0"/>
      </left>
      <right style="thin">
        <color indexed="64"/>
      </right>
      <top style="thin">
        <color theme="0"/>
      </top>
      <bottom/>
      <diagonal/>
    </border>
    <border>
      <left style="thin">
        <color indexed="64"/>
      </left>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0"/>
      </right>
      <top style="thin">
        <color indexed="64"/>
      </top>
      <bottom style="thin">
        <color theme="0"/>
      </bottom>
      <diagonal/>
    </border>
    <border>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indexed="64"/>
      </left>
      <right style="thin">
        <color indexed="64"/>
      </right>
      <top style="thin">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theme="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ck">
        <color indexed="64"/>
      </top>
      <bottom/>
      <diagonal/>
    </border>
    <border>
      <left/>
      <right/>
      <top/>
      <bottom style="medium">
        <color auto="1"/>
      </bottom>
      <diagonal/>
    </border>
    <border>
      <left style="thin">
        <color indexed="64"/>
      </left>
      <right style="thin">
        <color indexed="64"/>
      </right>
      <top/>
      <bottom style="medium">
        <color auto="1"/>
      </bottom>
      <diagonal/>
    </border>
    <border>
      <left/>
      <right/>
      <top style="thin">
        <color indexed="64"/>
      </top>
      <bottom style="thick">
        <color indexed="64"/>
      </bottom>
      <diagonal/>
    </border>
  </borders>
  <cellStyleXfs count="264">
    <xf numFmtId="0" fontId="0" fillId="0" borderId="0"/>
    <xf numFmtId="165" fontId="17"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164" fontId="17" fillId="0" borderId="0" applyFont="0" applyFill="0" applyBorder="0" applyAlignment="0" applyProtection="0"/>
    <xf numFmtId="0" fontId="18" fillId="0" borderId="0"/>
    <xf numFmtId="0" fontId="28" fillId="0" borderId="0" applyNumberFormat="0" applyFill="0" applyBorder="0" applyAlignment="0" applyProtection="0"/>
    <xf numFmtId="0" fontId="17" fillId="0" borderId="0"/>
    <xf numFmtId="165"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16" fillId="0" borderId="0"/>
    <xf numFmtId="9" fontId="17" fillId="0" borderId="0" applyFont="0" applyFill="0" applyBorder="0" applyAlignment="0" applyProtection="0"/>
    <xf numFmtId="0" fontId="17" fillId="0" borderId="0"/>
    <xf numFmtId="171" fontId="17" fillId="0" borderId="0" applyFont="0" applyFill="0" applyBorder="0" applyAlignment="0" applyProtection="0"/>
    <xf numFmtId="171" fontId="17" fillId="0" borderId="0" applyFont="0" applyFill="0" applyBorder="0" applyAlignment="0" applyProtection="0"/>
    <xf numFmtId="44" fontId="39"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0" fontId="16" fillId="0" borderId="0"/>
    <xf numFmtId="0" fontId="16" fillId="0" borderId="0"/>
    <xf numFmtId="0" fontId="17" fillId="0" borderId="0"/>
    <xf numFmtId="0" fontId="17" fillId="0" borderId="0"/>
    <xf numFmtId="0" fontId="40" fillId="0" borderId="0" applyProtection="0"/>
    <xf numFmtId="0" fontId="16" fillId="0" borderId="0"/>
    <xf numFmtId="0" fontId="16" fillId="0" borderId="0"/>
    <xf numFmtId="0" fontId="16" fillId="0" borderId="0"/>
    <xf numFmtId="0" fontId="40" fillId="0" borderId="0" applyProtection="0"/>
    <xf numFmtId="0" fontId="17" fillId="0" borderId="0"/>
    <xf numFmtId="0" fontId="17" fillId="0" borderId="0"/>
    <xf numFmtId="0" fontId="40" fillId="0" borderId="0" applyProtection="0"/>
    <xf numFmtId="0" fontId="39" fillId="0" borderId="0"/>
    <xf numFmtId="0" fontId="16" fillId="0" borderId="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0" fontId="39" fillId="0" borderId="0"/>
    <xf numFmtId="0" fontId="17" fillId="0" borderId="0"/>
    <xf numFmtId="172" fontId="41" fillId="0" borderId="0"/>
    <xf numFmtId="0" fontId="41" fillId="0" borderId="0"/>
    <xf numFmtId="44" fontId="16" fillId="0" borderId="0" applyFont="0" applyFill="0" applyBorder="0" applyAlignment="0" applyProtection="0"/>
    <xf numFmtId="44" fontId="16" fillId="0" borderId="0" applyFont="0" applyFill="0" applyBorder="0" applyAlignment="0" applyProtection="0"/>
    <xf numFmtId="173" fontId="42" fillId="0" borderId="0" applyFont="0" applyFill="0" applyBorder="0" applyAlignment="0" applyProtection="0"/>
    <xf numFmtId="44" fontId="42"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174" fontId="16" fillId="0" borderId="0" applyFont="0" applyFill="0" applyBorder="0" applyAlignment="0" applyProtection="0"/>
    <xf numFmtId="44" fontId="39" fillId="0" borderId="0" applyFont="0" applyFill="0" applyBorder="0" applyAlignment="0" applyProtection="0"/>
    <xf numFmtId="174" fontId="42"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74" fontId="17" fillId="0" borderId="0" applyFont="0" applyFill="0" applyBorder="0" applyAlignment="0" applyProtection="0"/>
    <xf numFmtId="44" fontId="42" fillId="0" borderId="0" applyFont="0" applyFill="0" applyBorder="0" applyAlignment="0" applyProtection="0"/>
    <xf numFmtId="17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73" fontId="42" fillId="0" borderId="0" applyFont="0" applyFill="0" applyBorder="0" applyAlignment="0" applyProtection="0"/>
    <xf numFmtId="0" fontId="16" fillId="0" borderId="0"/>
    <xf numFmtId="0" fontId="17" fillId="0" borderId="0"/>
    <xf numFmtId="0" fontId="16" fillId="0" borderId="0"/>
    <xf numFmtId="0" fontId="16" fillId="0" borderId="0"/>
    <xf numFmtId="0" fontId="17" fillId="0" borderId="0"/>
    <xf numFmtId="0" fontId="16" fillId="0" borderId="0"/>
    <xf numFmtId="0" fontId="16" fillId="0" borderId="0"/>
    <xf numFmtId="0" fontId="16" fillId="0" borderId="0"/>
    <xf numFmtId="0" fontId="16" fillId="0" borderId="0"/>
    <xf numFmtId="0" fontId="16" fillId="0" borderId="0"/>
    <xf numFmtId="0" fontId="17" fillId="0" borderId="0" applyBorder="0"/>
    <xf numFmtId="0" fontId="16" fillId="0" borderId="0"/>
    <xf numFmtId="0" fontId="16" fillId="0" borderId="0"/>
    <xf numFmtId="0" fontId="16" fillId="0" borderId="0"/>
    <xf numFmtId="0" fontId="16" fillId="0" borderId="0"/>
    <xf numFmtId="0" fontId="17" fillId="0" borderId="0" applyBorder="0"/>
    <xf numFmtId="0" fontId="17" fillId="0" borderId="0" applyBorder="0"/>
    <xf numFmtId="0" fontId="17" fillId="0" borderId="0" applyBorder="0"/>
    <xf numFmtId="0" fontId="16" fillId="0" borderId="0"/>
    <xf numFmtId="0" fontId="17" fillId="0" borderId="0"/>
    <xf numFmtId="0" fontId="17" fillId="0" borderId="0" applyBorder="0"/>
    <xf numFmtId="0" fontId="42" fillId="0" borderId="0"/>
    <xf numFmtId="0" fontId="16" fillId="0" borderId="0"/>
    <xf numFmtId="0" fontId="16" fillId="0" borderId="0"/>
    <xf numFmtId="0" fontId="17" fillId="0" borderId="0" applyBorder="0"/>
    <xf numFmtId="0" fontId="17" fillId="0" borderId="0" applyBorder="0"/>
    <xf numFmtId="0" fontId="16" fillId="0" borderId="0"/>
    <xf numFmtId="0" fontId="17" fillId="0" borderId="0" applyBorder="0"/>
    <xf numFmtId="0" fontId="16" fillId="0" borderId="0"/>
    <xf numFmtId="0" fontId="42" fillId="0" borderId="0"/>
    <xf numFmtId="0" fontId="16" fillId="0" borderId="0"/>
    <xf numFmtId="0" fontId="16" fillId="0" borderId="0"/>
    <xf numFmtId="0" fontId="16" fillId="0" borderId="0"/>
    <xf numFmtId="0" fontId="16" fillId="0" borderId="0"/>
    <xf numFmtId="0" fontId="17" fillId="0" borderId="0"/>
    <xf numFmtId="0" fontId="16" fillId="0" borderId="0"/>
    <xf numFmtId="0" fontId="16" fillId="0" borderId="0"/>
    <xf numFmtId="0" fontId="16" fillId="0" borderId="0"/>
    <xf numFmtId="0" fontId="39" fillId="0" borderId="0"/>
    <xf numFmtId="0" fontId="17" fillId="0" borderId="0" applyBorder="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applyBorder="0"/>
    <xf numFmtId="0" fontId="17" fillId="0" borderId="0" applyBorder="0"/>
    <xf numFmtId="0" fontId="17" fillId="0" borderId="0" applyBorder="0"/>
    <xf numFmtId="0" fontId="17" fillId="0" borderId="0"/>
    <xf numFmtId="0" fontId="16" fillId="0" borderId="0"/>
    <xf numFmtId="0" fontId="17" fillId="0" borderId="0" applyBorder="0"/>
    <xf numFmtId="0" fontId="17" fillId="0" borderId="0" applyBorder="0"/>
    <xf numFmtId="0" fontId="17" fillId="0" borderId="0" applyBorder="0"/>
    <xf numFmtId="0" fontId="17" fillId="0" borderId="0" applyBorder="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7" fillId="0" borderId="0" applyBorder="0"/>
    <xf numFmtId="0" fontId="16" fillId="0" borderId="0"/>
    <xf numFmtId="0" fontId="16" fillId="0" borderId="0"/>
    <xf numFmtId="9" fontId="42"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42"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42" fillId="0" borderId="0" applyFont="0" applyFill="0" applyBorder="0" applyAlignment="0" applyProtection="0"/>
    <xf numFmtId="9" fontId="39"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0" fontId="31" fillId="0" borderId="0"/>
    <xf numFmtId="0" fontId="43" fillId="0" borderId="87" applyNumberFormat="0" applyFill="0" applyAlignment="0" applyProtection="0"/>
    <xf numFmtId="164" fontId="17" fillId="0" borderId="0" applyFont="0" applyFill="0" applyBorder="0" applyAlignment="0" applyProtection="0"/>
    <xf numFmtId="43" fontId="17" fillId="0" borderId="0" applyFont="0" applyFill="0" applyBorder="0" applyAlignment="0" applyProtection="0"/>
    <xf numFmtId="40" fontId="42" fillId="0" borderId="0" applyFont="0" applyFill="0" applyBorder="0" applyAlignment="0" applyProtection="0"/>
    <xf numFmtId="43" fontId="17" fillId="0" borderId="0" applyFont="0" applyFill="0" applyBorder="0" applyAlignment="0" applyProtection="0"/>
    <xf numFmtId="40" fontId="42" fillId="0" borderId="0" applyFont="0" applyFill="0" applyBorder="0" applyAlignment="0" applyProtection="0"/>
    <xf numFmtId="43" fontId="39"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0" fontId="4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0" fontId="42" fillId="0" borderId="0" applyFont="0" applyFill="0" applyBorder="0" applyAlignment="0" applyProtection="0"/>
    <xf numFmtId="43" fontId="16" fillId="0" borderId="0" applyFont="0" applyFill="0" applyBorder="0" applyAlignment="0" applyProtection="0"/>
    <xf numFmtId="164" fontId="17" fillId="0" borderId="0" applyFont="0" applyFill="0" applyBorder="0" applyAlignment="0" applyProtection="0"/>
    <xf numFmtId="43" fontId="17" fillId="0" borderId="0" applyFont="0" applyFill="0" applyBorder="0" applyAlignment="0" applyProtection="0"/>
    <xf numFmtId="0" fontId="15" fillId="0" borderId="0"/>
    <xf numFmtId="0" fontId="14" fillId="0" borderId="0"/>
    <xf numFmtId="0" fontId="17" fillId="0" borderId="0"/>
    <xf numFmtId="3" fontId="45" fillId="12" borderId="0" applyProtection="0">
      <alignment horizontal="center" vertical="center"/>
    </xf>
    <xf numFmtId="171" fontId="17" fillId="0" borderId="0" applyFont="0" applyFill="0" applyBorder="0" applyAlignment="0" applyProtection="0"/>
    <xf numFmtId="0" fontId="11" fillId="0" borderId="0"/>
    <xf numFmtId="9" fontId="17" fillId="0" borderId="0" applyFont="0" applyFill="0" applyBorder="0" applyAlignment="0" applyProtection="0"/>
    <xf numFmtId="164" fontId="17" fillId="0" borderId="0" applyFont="0" applyFill="0" applyBorder="0" applyAlignment="0" applyProtection="0"/>
    <xf numFmtId="0" fontId="2" fillId="0" borderId="0"/>
    <xf numFmtId="0" fontId="2" fillId="0" borderId="0"/>
    <xf numFmtId="9" fontId="85" fillId="0" borderId="0" applyFont="0" applyFill="0" applyBorder="0" applyAlignment="0" applyProtection="0"/>
    <xf numFmtId="0" fontId="88" fillId="0" borderId="0"/>
    <xf numFmtId="0" fontId="89" fillId="15" borderId="0" applyNumberFormat="0" applyBorder="0" applyAlignment="0" applyProtection="0"/>
    <xf numFmtId="0" fontId="89" fillId="16"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9" fillId="19" borderId="0" applyNumberFormat="0" applyBorder="0" applyAlignment="0" applyProtection="0"/>
    <xf numFmtId="0" fontId="89" fillId="20"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3"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4" borderId="0" applyNumberFormat="0" applyBorder="0" applyAlignment="0" applyProtection="0"/>
    <xf numFmtId="0" fontId="90" fillId="25" borderId="0" applyNumberFormat="0" applyBorder="0" applyAlignment="0" applyProtection="0"/>
    <xf numFmtId="0" fontId="90" fillId="22" borderId="0" applyNumberFormat="0" applyBorder="0" applyAlignment="0" applyProtection="0"/>
    <xf numFmtId="0" fontId="90" fillId="23" borderId="0" applyNumberFormat="0" applyBorder="0" applyAlignment="0" applyProtection="0"/>
    <xf numFmtId="0" fontId="90" fillId="26" borderId="0" applyNumberFormat="0" applyBorder="0" applyAlignment="0" applyProtection="0"/>
    <xf numFmtId="0" fontId="90" fillId="27" borderId="0" applyNumberFormat="0" applyBorder="0" applyAlignment="0" applyProtection="0"/>
    <xf numFmtId="0" fontId="90" fillId="28" borderId="0" applyNumberFormat="0" applyBorder="0" applyAlignment="0" applyProtection="0"/>
    <xf numFmtId="0" fontId="91" fillId="17" borderId="0" applyNumberFormat="0" applyBorder="0" applyAlignment="0" applyProtection="0"/>
    <xf numFmtId="0" fontId="92" fillId="29" borderId="101" applyNumberFormat="0" applyAlignment="0" applyProtection="0"/>
    <xf numFmtId="0" fontId="93" fillId="30" borderId="102" applyNumberFormat="0" applyAlignment="0" applyProtection="0"/>
    <xf numFmtId="0" fontId="94" fillId="0" borderId="103" applyNumberFormat="0" applyFill="0" applyAlignment="0" applyProtection="0"/>
    <xf numFmtId="0" fontId="90" fillId="31" borderId="0" applyNumberFormat="0" applyBorder="0" applyAlignment="0" applyProtection="0"/>
    <xf numFmtId="0" fontId="90" fillId="32" borderId="0" applyNumberFormat="0" applyBorder="0" applyAlignment="0" applyProtection="0"/>
    <xf numFmtId="0" fontId="90" fillId="33" borderId="0" applyNumberFormat="0" applyBorder="0" applyAlignment="0" applyProtection="0"/>
    <xf numFmtId="0" fontId="90" fillId="26" borderId="0" applyNumberFormat="0" applyBorder="0" applyAlignment="0" applyProtection="0"/>
    <xf numFmtId="0" fontId="90" fillId="27" borderId="0" applyNumberFormat="0" applyBorder="0" applyAlignment="0" applyProtection="0"/>
    <xf numFmtId="0" fontId="90" fillId="34" borderId="0" applyNumberFormat="0" applyBorder="0" applyAlignment="0" applyProtection="0"/>
    <xf numFmtId="0" fontId="95" fillId="20" borderId="101" applyNumberFormat="0" applyAlignment="0" applyProtection="0"/>
    <xf numFmtId="177" fontId="96" fillId="0" borderId="0" applyFont="0" applyFill="0" applyBorder="0" applyAlignment="0" applyProtection="0"/>
    <xf numFmtId="0" fontId="97" fillId="0" borderId="0" applyNumberFormat="0" applyFill="0" applyBorder="0" applyAlignment="0" applyProtection="0">
      <alignment vertical="top"/>
      <protection locked="0"/>
    </xf>
    <xf numFmtId="0" fontId="84" fillId="0" borderId="0" applyNumberFormat="0" applyFill="0" applyBorder="0" applyAlignment="0" applyProtection="0"/>
    <xf numFmtId="0" fontId="98" fillId="0" borderId="0" applyNumberFormat="0" applyFill="0" applyBorder="0" applyAlignment="0" applyProtection="0"/>
    <xf numFmtId="0" fontId="99" fillId="16" borderId="0" applyNumberFormat="0" applyBorder="0" applyAlignment="0" applyProtection="0"/>
    <xf numFmtId="0" fontId="86" fillId="14" borderId="0" applyNumberFormat="0" applyBorder="0" applyAlignment="0" applyProtection="0"/>
    <xf numFmtId="44" fontId="39"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00" fillId="35" borderId="0" applyNumberFormat="0" applyBorder="0" applyAlignment="0" applyProtection="0"/>
    <xf numFmtId="0" fontId="17" fillId="0" borderId="0"/>
    <xf numFmtId="0" fontId="40" fillId="0" borderId="0" applyProtection="0"/>
    <xf numFmtId="0" fontId="1" fillId="0" borderId="0"/>
    <xf numFmtId="0" fontId="87" fillId="0" borderId="0" applyProtection="0"/>
    <xf numFmtId="0" fontId="1" fillId="0" borderId="0"/>
    <xf numFmtId="0" fontId="17" fillId="0" borderId="0"/>
    <xf numFmtId="0" fontId="39"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39" fillId="0" borderId="0"/>
    <xf numFmtId="0" fontId="17" fillId="0" borderId="0"/>
    <xf numFmtId="0" fontId="39" fillId="0" borderId="0"/>
    <xf numFmtId="0" fontId="17" fillId="36" borderId="104" applyNumberFormat="0" applyFont="0" applyAlignment="0" applyProtection="0"/>
    <xf numFmtId="9" fontId="17" fillId="0" borderId="0" applyFont="0" applyFill="0" applyBorder="0" applyAlignment="0" applyProtection="0"/>
    <xf numFmtId="9" fontId="1" fillId="0" borderId="0" applyFont="0" applyFill="0" applyBorder="0" applyAlignment="0" applyProtection="0"/>
    <xf numFmtId="9" fontId="39"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0" fontId="101" fillId="29" borderId="105" applyNumberFormat="0" applyAlignment="0" applyProtection="0"/>
    <xf numFmtId="164" fontId="17" fillId="0" borderId="0" applyFont="0" applyFill="0" applyBorder="0" applyAlignment="0" applyProtection="0"/>
    <xf numFmtId="0" fontId="17" fillId="0" borderId="0"/>
    <xf numFmtId="0" fontId="102" fillId="0" borderId="0" applyNumberFormat="0" applyFill="0" applyBorder="0" applyAlignment="0" applyProtection="0"/>
    <xf numFmtId="0" fontId="103" fillId="0" borderId="0" applyNumberFormat="0" applyFill="0" applyBorder="0" applyAlignment="0" applyProtection="0"/>
    <xf numFmtId="0" fontId="104" fillId="0" borderId="106" applyNumberFormat="0" applyFill="0" applyAlignment="0" applyProtection="0"/>
    <xf numFmtId="0" fontId="105" fillId="0" borderId="107" applyNumberFormat="0" applyFill="0" applyAlignment="0" applyProtection="0"/>
    <xf numFmtId="0" fontId="106" fillId="0" borderId="108"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109" applyNumberFormat="0" applyFill="0" applyAlignment="0" applyProtection="0"/>
  </cellStyleXfs>
  <cellXfs count="1360">
    <xf numFmtId="0" fontId="0" fillId="0" borderId="0" xfId="0"/>
    <xf numFmtId="0" fontId="18" fillId="0" borderId="0" xfId="3" applyAlignment="1">
      <alignment vertical="center"/>
    </xf>
    <xf numFmtId="0" fontId="20" fillId="0" borderId="8" xfId="3" applyFont="1" applyBorder="1" applyAlignment="1">
      <alignment horizontal="right" vertical="center"/>
    </xf>
    <xf numFmtId="0" fontId="18" fillId="0" borderId="0" xfId="3" applyAlignment="1">
      <alignment horizontal="center" vertical="center"/>
    </xf>
    <xf numFmtId="0" fontId="18" fillId="0" borderId="49" xfId="0" applyFont="1" applyBorder="1" applyAlignment="1">
      <alignment vertical="center" wrapText="1"/>
    </xf>
    <xf numFmtId="0" fontId="20" fillId="0" borderId="50" xfId="0" applyFont="1" applyBorder="1" applyAlignment="1">
      <alignment vertical="center" wrapText="1"/>
    </xf>
    <xf numFmtId="0" fontId="20" fillId="0" borderId="55" xfId="0" applyFont="1" applyBorder="1" applyAlignment="1">
      <alignment vertical="center" wrapText="1"/>
    </xf>
    <xf numFmtId="0" fontId="24" fillId="0" borderId="48" xfId="0" applyFont="1" applyBorder="1" applyAlignment="1">
      <alignment vertical="center"/>
    </xf>
    <xf numFmtId="0" fontId="24" fillId="0" borderId="42" xfId="0" applyFont="1" applyBorder="1" applyAlignment="1">
      <alignment vertical="center"/>
    </xf>
    <xf numFmtId="0" fontId="24" fillId="0" borderId="40" xfId="0" applyFont="1" applyBorder="1" applyAlignment="1">
      <alignment vertical="center"/>
    </xf>
    <xf numFmtId="0" fontId="24" fillId="0" borderId="36" xfId="0" applyFont="1" applyBorder="1" applyAlignment="1">
      <alignment vertical="center"/>
    </xf>
    <xf numFmtId="0" fontId="24" fillId="0" borderId="36" xfId="0" applyFont="1" applyBorder="1" applyAlignment="1">
      <alignment horizontal="center" vertical="center"/>
    </xf>
    <xf numFmtId="0" fontId="18" fillId="0" borderId="82" xfId="0" applyFont="1" applyBorder="1" applyAlignment="1">
      <alignment vertical="center" wrapText="1"/>
    </xf>
    <xf numFmtId="0" fontId="18" fillId="0" borderId="84" xfId="0" applyFont="1" applyBorder="1" applyAlignment="1">
      <alignment vertical="center" wrapText="1"/>
    </xf>
    <xf numFmtId="0" fontId="26" fillId="0" borderId="39" xfId="0" applyFont="1" applyBorder="1" applyAlignment="1">
      <alignment vertical="center"/>
    </xf>
    <xf numFmtId="0" fontId="27" fillId="0" borderId="39" xfId="0" applyFont="1" applyBorder="1" applyAlignment="1">
      <alignment vertical="center" wrapText="1"/>
    </xf>
    <xf numFmtId="0" fontId="25" fillId="0" borderId="60" xfId="0" applyFont="1" applyBorder="1" applyAlignment="1">
      <alignment vertical="center"/>
    </xf>
    <xf numFmtId="0" fontId="25" fillId="0" borderId="56" xfId="0" applyFont="1" applyBorder="1" applyAlignment="1">
      <alignment horizontal="left" vertical="center"/>
    </xf>
    <xf numFmtId="0" fontId="25" fillId="0" borderId="12" xfId="0" applyFont="1" applyBorder="1" applyAlignment="1">
      <alignment vertical="center"/>
    </xf>
    <xf numFmtId="0" fontId="25" fillId="0" borderId="56" xfId="0" applyFont="1" applyBorder="1" applyAlignment="1">
      <alignment vertical="center"/>
    </xf>
    <xf numFmtId="0" fontId="25" fillId="0" borderId="39" xfId="0" applyFont="1" applyBorder="1" applyAlignment="1">
      <alignment vertical="center"/>
    </xf>
    <xf numFmtId="0" fontId="25" fillId="0" borderId="39" xfId="0" applyFont="1" applyBorder="1" applyAlignment="1">
      <alignment horizontal="right" vertical="center"/>
    </xf>
    <xf numFmtId="0" fontId="25" fillId="0" borderId="13" xfId="0" applyFont="1" applyBorder="1" applyAlignment="1">
      <alignment horizontal="left" vertical="center"/>
    </xf>
    <xf numFmtId="0" fontId="25" fillId="0" borderId="42" xfId="0" applyFont="1" applyBorder="1" applyAlignment="1">
      <alignment vertical="center"/>
    </xf>
    <xf numFmtId="0" fontId="24" fillId="0" borderId="36" xfId="0" applyFont="1" applyBorder="1" applyAlignment="1">
      <alignment horizontal="left" vertical="center"/>
    </xf>
    <xf numFmtId="0" fontId="17" fillId="0" borderId="8" xfId="3" applyFont="1" applyBorder="1" applyAlignment="1">
      <alignment horizontal="justify" vertical="center" wrapText="1"/>
    </xf>
    <xf numFmtId="49" fontId="17" fillId="0" borderId="8" xfId="3" applyNumberFormat="1" applyFont="1" applyBorder="1" applyAlignment="1">
      <alignment horizontal="center" vertical="center"/>
    </xf>
    <xf numFmtId="0" fontId="17" fillId="0" borderId="8" xfId="3" applyFont="1" applyBorder="1" applyAlignment="1">
      <alignment horizontal="center" vertical="center"/>
    </xf>
    <xf numFmtId="168" fontId="17" fillId="0" borderId="8" xfId="3" applyNumberFormat="1" applyFont="1" applyBorder="1" applyAlignment="1">
      <alignment horizontal="distributed" vertical="center"/>
    </xf>
    <xf numFmtId="0" fontId="24" fillId="2" borderId="36" xfId="0" applyFont="1" applyFill="1" applyBorder="1" applyAlignment="1">
      <alignment horizontal="center" vertical="center"/>
    </xf>
    <xf numFmtId="4" fontId="17" fillId="0" borderId="8" xfId="3" applyNumberFormat="1" applyFont="1" applyBorder="1" applyAlignment="1">
      <alignment horizontal="center" vertical="center"/>
    </xf>
    <xf numFmtId="0" fontId="24" fillId="2" borderId="0" xfId="3" applyFont="1" applyFill="1" applyAlignment="1">
      <alignment horizontal="center" vertical="center"/>
    </xf>
    <xf numFmtId="167" fontId="17" fillId="0" borderId="8" xfId="1" applyNumberFormat="1" applyFont="1" applyFill="1" applyBorder="1" applyAlignment="1">
      <alignment horizontal="distributed" vertical="center"/>
    </xf>
    <xf numFmtId="10" fontId="17" fillId="0" borderId="8" xfId="3" applyNumberFormat="1" applyFont="1" applyBorder="1" applyAlignment="1">
      <alignment horizontal="center" vertical="center"/>
    </xf>
    <xf numFmtId="0" fontId="17" fillId="2" borderId="8" xfId="3" applyFont="1" applyFill="1" applyBorder="1" applyAlignment="1">
      <alignment horizontal="center" vertical="center"/>
    </xf>
    <xf numFmtId="0" fontId="17" fillId="2" borderId="8" xfId="3" applyFont="1" applyFill="1" applyBorder="1" applyAlignment="1">
      <alignment horizontal="justify" vertical="center" wrapText="1"/>
    </xf>
    <xf numFmtId="0" fontId="25" fillId="2" borderId="56" xfId="0" applyFont="1" applyFill="1" applyBorder="1" applyAlignment="1">
      <alignment vertical="center"/>
    </xf>
    <xf numFmtId="0" fontId="25" fillId="2" borderId="13" xfId="0" applyFont="1" applyFill="1" applyBorder="1" applyAlignment="1">
      <alignment horizontal="left" vertical="center"/>
    </xf>
    <xf numFmtId="0" fontId="25" fillId="2" borderId="42" xfId="0" applyFont="1" applyFill="1" applyBorder="1" applyAlignment="1">
      <alignment vertical="center"/>
    </xf>
    <xf numFmtId="0" fontId="25" fillId="2" borderId="13" xfId="0" applyFont="1" applyFill="1" applyBorder="1" applyAlignment="1">
      <alignment vertical="center"/>
    </xf>
    <xf numFmtId="0" fontId="25" fillId="2" borderId="56" xfId="0" applyFont="1" applyFill="1" applyBorder="1" applyAlignment="1">
      <alignment horizontal="left" vertical="center"/>
    </xf>
    <xf numFmtId="0" fontId="24" fillId="2" borderId="36" xfId="0" applyFont="1" applyFill="1" applyBorder="1" applyAlignment="1">
      <alignment vertical="center"/>
    </xf>
    <xf numFmtId="10" fontId="17" fillId="0" borderId="8" xfId="6" applyNumberFormat="1" applyFont="1" applyBorder="1" applyAlignment="1">
      <alignment horizontal="center" vertical="center"/>
    </xf>
    <xf numFmtId="0" fontId="18" fillId="0" borderId="0" xfId="6" applyAlignment="1">
      <alignment vertical="center"/>
    </xf>
    <xf numFmtId="0" fontId="24" fillId="2" borderId="0" xfId="6" applyFont="1" applyFill="1" applyAlignment="1">
      <alignment horizontal="left" vertical="center"/>
    </xf>
    <xf numFmtId="0" fontId="25" fillId="0" borderId="0" xfId="7" applyFont="1" applyAlignment="1">
      <alignment vertical="center"/>
    </xf>
    <xf numFmtId="0" fontId="25" fillId="0" borderId="0" xfId="0" applyFont="1"/>
    <xf numFmtId="0" fontId="17" fillId="0" borderId="8" xfId="3" applyFont="1" applyBorder="1" applyAlignment="1">
      <alignment vertical="center" wrapText="1"/>
    </xf>
    <xf numFmtId="9" fontId="17" fillId="0" borderId="8" xfId="3" applyNumberFormat="1" applyFont="1" applyBorder="1" applyAlignment="1">
      <alignment horizontal="center" vertical="center"/>
    </xf>
    <xf numFmtId="168" fontId="17" fillId="2" borderId="8" xfId="3" applyNumberFormat="1" applyFont="1" applyFill="1" applyBorder="1" applyAlignment="1">
      <alignment horizontal="distributed" vertical="center"/>
    </xf>
    <xf numFmtId="0" fontId="30" fillId="0" borderId="0" xfId="7" applyFont="1"/>
    <xf numFmtId="0" fontId="31" fillId="0" borderId="0" xfId="0" applyFont="1"/>
    <xf numFmtId="49" fontId="30" fillId="8" borderId="15" xfId="7" applyNumberFormat="1" applyFont="1" applyFill="1" applyBorder="1" applyAlignment="1">
      <alignment horizontal="left" vertical="center" wrapText="1"/>
    </xf>
    <xf numFmtId="169" fontId="30" fillId="8" borderId="16" xfId="7" applyNumberFormat="1" applyFont="1" applyFill="1" applyBorder="1" applyAlignment="1">
      <alignment horizontal="center" vertical="center" wrapText="1"/>
    </xf>
    <xf numFmtId="0" fontId="30" fillId="8" borderId="17" xfId="7" applyFont="1" applyFill="1" applyBorder="1" applyAlignment="1">
      <alignment horizontal="center" vertical="center"/>
    </xf>
    <xf numFmtId="49" fontId="30" fillId="0" borderId="15" xfId="7" applyNumberFormat="1" applyFont="1" applyBorder="1" applyAlignment="1">
      <alignment horizontal="left" vertical="center"/>
    </xf>
    <xf numFmtId="169" fontId="30" fillId="0" borderId="16" xfId="7" applyNumberFormat="1" applyFont="1" applyBorder="1" applyAlignment="1">
      <alignment horizontal="center" vertical="center"/>
    </xf>
    <xf numFmtId="0" fontId="30" fillId="0" borderId="17" xfId="7" applyFont="1" applyBorder="1" applyAlignment="1">
      <alignment horizontal="center" vertical="center"/>
    </xf>
    <xf numFmtId="10" fontId="30" fillId="0" borderId="15" xfId="7" applyNumberFormat="1" applyFont="1" applyBorder="1" applyAlignment="1">
      <alignment horizontal="center" vertical="center"/>
    </xf>
    <xf numFmtId="10" fontId="30" fillId="8" borderId="15" xfId="7" applyNumberFormat="1" applyFont="1" applyFill="1" applyBorder="1" applyAlignment="1">
      <alignment horizontal="center" vertical="center"/>
    </xf>
    <xf numFmtId="0" fontId="30" fillId="0" borderId="17" xfId="7" applyFont="1" applyBorder="1" applyAlignment="1">
      <alignment horizontal="center" vertical="center" wrapText="1"/>
    </xf>
    <xf numFmtId="10" fontId="30" fillId="0" borderId="15" xfId="7" applyNumberFormat="1" applyFont="1" applyBorder="1" applyAlignment="1">
      <alignment horizontal="center" vertical="center" wrapText="1"/>
    </xf>
    <xf numFmtId="0" fontId="30" fillId="0" borderId="0" xfId="7" applyFont="1" applyAlignment="1">
      <alignment wrapText="1"/>
    </xf>
    <xf numFmtId="0" fontId="30" fillId="8" borderId="17" xfId="7" applyFont="1" applyFill="1" applyBorder="1" applyAlignment="1">
      <alignment horizontal="center" vertical="center" wrapText="1"/>
    </xf>
    <xf numFmtId="10" fontId="30" fillId="8" borderId="15" xfId="7" applyNumberFormat="1" applyFont="1" applyFill="1" applyBorder="1" applyAlignment="1">
      <alignment horizontal="center" vertical="center" wrapText="1"/>
    </xf>
    <xf numFmtId="49" fontId="34" fillId="0" borderId="15" xfId="7" applyNumberFormat="1" applyFont="1" applyBorder="1" applyAlignment="1">
      <alignment horizontal="left" vertical="center" wrapText="1"/>
    </xf>
    <xf numFmtId="169" fontId="30" fillId="0" borderId="16" xfId="7" applyNumberFormat="1" applyFont="1" applyBorder="1" applyAlignment="1">
      <alignment horizontal="center" vertical="center" wrapText="1"/>
    </xf>
    <xf numFmtId="49" fontId="30" fillId="0" borderId="15" xfId="7" applyNumberFormat="1" applyFont="1" applyBorder="1" applyAlignment="1">
      <alignment horizontal="left" vertical="center" wrapText="1"/>
    </xf>
    <xf numFmtId="49" fontId="30" fillId="0" borderId="15" xfId="7" applyNumberFormat="1" applyFont="1" applyBorder="1" applyAlignment="1">
      <alignment horizontal="justify" vertical="center" wrapText="1"/>
    </xf>
    <xf numFmtId="10" fontId="34" fillId="7" borderId="15" xfId="7" applyNumberFormat="1" applyFont="1" applyFill="1" applyBorder="1" applyAlignment="1">
      <alignment horizontal="center" vertical="center"/>
    </xf>
    <xf numFmtId="10" fontId="34" fillId="7" borderId="7" xfId="7" applyNumberFormat="1" applyFont="1" applyFill="1" applyBorder="1" applyAlignment="1">
      <alignment vertical="center"/>
    </xf>
    <xf numFmtId="0" fontId="30" fillId="0" borderId="0" xfId="7" applyFont="1" applyBorder="1"/>
    <xf numFmtId="49" fontId="30" fillId="8" borderId="15" xfId="7" applyNumberFormat="1" applyFont="1" applyFill="1" applyBorder="1" applyAlignment="1">
      <alignment horizontal="left" vertical="center"/>
    </xf>
    <xf numFmtId="169" fontId="30" fillId="8" borderId="16" xfId="7" applyNumberFormat="1" applyFont="1" applyFill="1" applyBorder="1" applyAlignment="1">
      <alignment horizontal="center" vertical="center"/>
    </xf>
    <xf numFmtId="0" fontId="30" fillId="5" borderId="17" xfId="11" applyFont="1" applyFill="1" applyBorder="1" applyAlignment="1">
      <alignment horizontal="center" vertical="center"/>
    </xf>
    <xf numFmtId="0" fontId="30" fillId="0" borderId="17" xfId="11" applyFont="1" applyBorder="1" applyAlignment="1">
      <alignment horizontal="center" vertical="center"/>
    </xf>
    <xf numFmtId="10" fontId="30" fillId="0" borderId="15" xfId="11" applyNumberFormat="1" applyFont="1" applyBorder="1" applyAlignment="1">
      <alignment horizontal="center" vertical="center"/>
    </xf>
    <xf numFmtId="10" fontId="30" fillId="5" borderId="15" xfId="11" applyNumberFormat="1" applyFont="1" applyFill="1" applyBorder="1" applyAlignment="1">
      <alignment horizontal="center" vertical="center"/>
    </xf>
    <xf numFmtId="0" fontId="30" fillId="0" borderId="17" xfId="11" applyFont="1" applyBorder="1" applyAlignment="1">
      <alignment horizontal="center" vertical="center" wrapText="1"/>
    </xf>
    <xf numFmtId="10" fontId="30" fillId="0" borderId="15" xfId="11" applyNumberFormat="1" applyFont="1" applyBorder="1" applyAlignment="1">
      <alignment horizontal="center" vertical="center" wrapText="1"/>
    </xf>
    <xf numFmtId="0" fontId="30" fillId="5" borderId="17" xfId="11" applyFont="1" applyFill="1" applyBorder="1" applyAlignment="1">
      <alignment horizontal="center" vertical="center" wrapText="1"/>
    </xf>
    <xf numFmtId="10" fontId="30" fillId="5" borderId="15" xfId="11" applyNumberFormat="1" applyFont="1" applyFill="1" applyBorder="1" applyAlignment="1">
      <alignment horizontal="center" vertical="center" wrapText="1"/>
    </xf>
    <xf numFmtId="49" fontId="30" fillId="8" borderId="15" xfId="7" applyNumberFormat="1" applyFont="1" applyFill="1" applyBorder="1" applyAlignment="1">
      <alignment horizontal="justify" vertical="center" wrapText="1"/>
    </xf>
    <xf numFmtId="10" fontId="34" fillId="4" borderId="15" xfId="11" applyNumberFormat="1" applyFont="1" applyFill="1" applyBorder="1" applyAlignment="1">
      <alignment horizontal="center" vertical="center"/>
    </xf>
    <xf numFmtId="10" fontId="34" fillId="4" borderId="7" xfId="11" applyNumberFormat="1" applyFont="1" applyFill="1" applyBorder="1" applyAlignment="1">
      <alignment vertical="center"/>
    </xf>
    <xf numFmtId="4" fontId="17" fillId="2" borderId="8" xfId="3" applyNumberFormat="1" applyFont="1" applyFill="1" applyBorder="1" applyAlignment="1">
      <alignment horizontal="center" vertical="center"/>
    </xf>
    <xf numFmtId="0" fontId="24" fillId="0" borderId="0" xfId="0" applyFont="1" applyAlignment="1">
      <alignment vertical="center"/>
    </xf>
    <xf numFmtId="0" fontId="0" fillId="0" borderId="48" xfId="0" applyBorder="1" applyAlignment="1">
      <alignment horizontal="center" vertical="center"/>
    </xf>
    <xf numFmtId="0" fontId="0" fillId="0" borderId="36" xfId="0" applyBorder="1" applyAlignment="1">
      <alignment vertical="center"/>
    </xf>
    <xf numFmtId="4" fontId="17" fillId="0" borderId="8" xfId="10" applyNumberFormat="1" applyBorder="1" applyAlignment="1">
      <alignment horizontal="center" vertical="center"/>
    </xf>
    <xf numFmtId="0" fontId="17" fillId="0" borderId="8" xfId="10" applyBorder="1" applyAlignment="1">
      <alignment horizontal="center" vertical="center"/>
    </xf>
    <xf numFmtId="49" fontId="17" fillId="0" borderId="8" xfId="10" applyNumberFormat="1" applyBorder="1" applyAlignment="1">
      <alignment horizontal="center" vertical="center"/>
    </xf>
    <xf numFmtId="10" fontId="17" fillId="0" borderId="8" xfId="10" applyNumberFormat="1" applyBorder="1" applyAlignment="1">
      <alignment horizontal="center" vertical="center"/>
    </xf>
    <xf numFmtId="2" fontId="25" fillId="0" borderId="8" xfId="0" applyNumberFormat="1" applyFont="1" applyBorder="1" applyAlignment="1">
      <alignment horizontal="center" vertical="center"/>
    </xf>
    <xf numFmtId="49" fontId="17" fillId="0" borderId="8" xfId="6" applyNumberFormat="1" applyFont="1" applyBorder="1" applyAlignment="1">
      <alignment horizontal="center" vertical="center"/>
    </xf>
    <xf numFmtId="168" fontId="17" fillId="0" borderId="8" xfId="6" applyNumberFormat="1" applyFont="1" applyBorder="1" applyAlignment="1">
      <alignment horizontal="distributed" vertical="center"/>
    </xf>
    <xf numFmtId="0" fontId="36" fillId="0" borderId="0" xfId="0" applyFont="1" applyAlignment="1">
      <alignment vertical="center" wrapText="1"/>
    </xf>
    <xf numFmtId="0" fontId="36" fillId="0" borderId="0" xfId="0" applyFont="1"/>
    <xf numFmtId="0" fontId="36" fillId="0" borderId="0" xfId="0" applyFont="1" applyAlignment="1">
      <alignment vertical="center"/>
    </xf>
    <xf numFmtId="0" fontId="21" fillId="0" borderId="0" xfId="0" applyFont="1" applyAlignment="1">
      <alignment vertical="center"/>
    </xf>
    <xf numFmtId="0" fontId="37" fillId="0" borderId="0" xfId="0" applyFont="1" applyAlignment="1">
      <alignment vertical="center"/>
    </xf>
    <xf numFmtId="0" fontId="36" fillId="0" borderId="0" xfId="0" applyFont="1" applyAlignment="1">
      <alignment horizontal="justify" vertical="center" wrapText="1"/>
    </xf>
    <xf numFmtId="0" fontId="38" fillId="9" borderId="11" xfId="0" applyFont="1" applyFill="1" applyBorder="1" applyAlignment="1">
      <alignment horizontal="center" vertical="center"/>
    </xf>
    <xf numFmtId="0" fontId="21" fillId="0" borderId="0" xfId="0" applyFont="1" applyAlignment="1">
      <alignment vertical="center" wrapText="1"/>
    </xf>
    <xf numFmtId="0" fontId="37" fillId="0" borderId="0" xfId="0" applyFont="1" applyAlignment="1">
      <alignment vertical="center" wrapText="1"/>
    </xf>
    <xf numFmtId="2" fontId="25" fillId="0" borderId="12" xfId="0" applyNumberFormat="1" applyFont="1" applyBorder="1" applyAlignment="1">
      <alignment horizontal="right" vertical="center"/>
    </xf>
    <xf numFmtId="0" fontId="25" fillId="0" borderId="12" xfId="0" applyFont="1" applyBorder="1" applyAlignment="1">
      <alignment horizontal="right" vertical="center"/>
    </xf>
    <xf numFmtId="0" fontId="20" fillId="3" borderId="14" xfId="3" applyFont="1" applyFill="1" applyBorder="1" applyAlignment="1">
      <alignment horizontal="left" vertical="center"/>
    </xf>
    <xf numFmtId="0" fontId="17" fillId="0" borderId="8" xfId="10" applyBorder="1" applyAlignment="1">
      <alignment vertical="center" wrapText="1"/>
    </xf>
    <xf numFmtId="0" fontId="17" fillId="0" borderId="7" xfId="10" applyBorder="1" applyAlignment="1">
      <alignment horizontal="justify" vertical="center" wrapText="1"/>
    </xf>
    <xf numFmtId="0" fontId="17" fillId="0" borderId="7" xfId="10" applyBorder="1" applyAlignment="1">
      <alignment vertical="center" wrapText="1"/>
    </xf>
    <xf numFmtId="0" fontId="17" fillId="0" borderId="8" xfId="6" applyFont="1" applyBorder="1" applyAlignment="1">
      <alignment horizontal="center" vertical="center"/>
    </xf>
    <xf numFmtId="0" fontId="20" fillId="3" borderId="12" xfId="3" applyFont="1" applyFill="1" applyBorder="1" applyAlignment="1">
      <alignment vertical="center" wrapText="1"/>
    </xf>
    <xf numFmtId="0" fontId="20" fillId="3" borderId="14" xfId="3" applyFont="1" applyFill="1" applyBorder="1" applyAlignment="1">
      <alignment vertical="center" wrapText="1"/>
    </xf>
    <xf numFmtId="0" fontId="17" fillId="0" borderId="31" xfId="10" applyBorder="1" applyAlignment="1">
      <alignment horizontal="center" vertical="center"/>
    </xf>
    <xf numFmtId="0" fontId="17" fillId="0" borderId="8" xfId="10" applyBorder="1" applyAlignment="1">
      <alignment vertical="center"/>
    </xf>
    <xf numFmtId="0" fontId="20" fillId="3" borderId="14" xfId="3" applyFont="1" applyFill="1" applyBorder="1" applyAlignment="1">
      <alignment vertical="center"/>
    </xf>
    <xf numFmtId="0" fontId="20" fillId="2" borderId="41" xfId="0" applyFont="1" applyFill="1" applyBorder="1" applyAlignment="1">
      <alignment horizontal="center" vertical="center"/>
    </xf>
    <xf numFmtId="0" fontId="45" fillId="0" borderId="0" xfId="0" applyFont="1" applyAlignment="1">
      <alignment horizontal="center" vertical="center"/>
    </xf>
    <xf numFmtId="2" fontId="46" fillId="0" borderId="0" xfId="0" applyNumberFormat="1" applyFont="1" applyAlignment="1">
      <alignment horizontal="center" vertical="center"/>
    </xf>
    <xf numFmtId="0" fontId="45" fillId="0" borderId="0" xfId="0" applyFont="1" applyAlignment="1">
      <alignment vertical="center"/>
    </xf>
    <xf numFmtId="0" fontId="17" fillId="0" borderId="8" xfId="10" applyBorder="1" applyAlignment="1">
      <alignment horizontal="left" vertical="center" wrapText="1"/>
    </xf>
    <xf numFmtId="9" fontId="47" fillId="0" borderId="36" xfId="0" applyNumberFormat="1" applyFont="1" applyBorder="1" applyAlignment="1">
      <alignment horizontal="center" vertical="center"/>
    </xf>
    <xf numFmtId="0" fontId="24" fillId="0" borderId="0" xfId="0" applyFont="1" applyAlignment="1">
      <alignment horizontal="left" vertical="center"/>
    </xf>
    <xf numFmtId="0" fontId="25" fillId="0" borderId="8" xfId="10" applyFont="1" applyBorder="1" applyAlignment="1">
      <alignment horizontal="left" vertical="center" wrapText="1"/>
    </xf>
    <xf numFmtId="49" fontId="25" fillId="0" borderId="8" xfId="10" applyNumberFormat="1" applyFont="1" applyBorder="1" applyAlignment="1">
      <alignment horizontal="center" vertical="center"/>
    </xf>
    <xf numFmtId="10" fontId="25" fillId="0" borderId="8" xfId="10" applyNumberFormat="1" applyFont="1" applyBorder="1" applyAlignment="1">
      <alignment horizontal="center" vertical="center"/>
    </xf>
    <xf numFmtId="4" fontId="25" fillId="0" borderId="8" xfId="10" applyNumberFormat="1" applyFont="1" applyBorder="1" applyAlignment="1">
      <alignment horizontal="center" vertical="center"/>
    </xf>
    <xf numFmtId="0" fontId="25" fillId="0" borderId="8" xfId="10" applyFont="1" applyBorder="1" applyAlignment="1">
      <alignment horizontal="center" vertical="center"/>
    </xf>
    <xf numFmtId="3" fontId="24" fillId="0" borderId="0" xfId="0" applyNumberFormat="1" applyFont="1" applyAlignment="1">
      <alignment horizontal="center" vertical="center"/>
    </xf>
    <xf numFmtId="3" fontId="24" fillId="0" borderId="0" xfId="0" applyNumberFormat="1" applyFont="1" applyAlignment="1">
      <alignment horizontal="left" vertical="center"/>
    </xf>
    <xf numFmtId="0" fontId="25" fillId="0" borderId="7" xfId="10" applyFont="1" applyBorder="1" applyAlignment="1">
      <alignment horizontal="justify" vertical="center" wrapText="1"/>
    </xf>
    <xf numFmtId="0" fontId="22" fillId="2" borderId="41" xfId="0" applyFont="1" applyFill="1" applyBorder="1" applyAlignment="1">
      <alignment horizontal="center" vertical="center"/>
    </xf>
    <xf numFmtId="2" fontId="25" fillId="0" borderId="0" xfId="0" applyNumberFormat="1" applyFont="1" applyAlignment="1">
      <alignment horizontal="right" vertical="center"/>
    </xf>
    <xf numFmtId="2" fontId="25" fillId="0" borderId="0" xfId="0" applyNumberFormat="1" applyFont="1" applyAlignment="1">
      <alignment horizontal="center" vertical="center"/>
    </xf>
    <xf numFmtId="0" fontId="25" fillId="0" borderId="0" xfId="0" applyFont="1" applyAlignment="1">
      <alignment vertical="center"/>
    </xf>
    <xf numFmtId="0" fontId="24" fillId="0" borderId="47" xfId="0" applyFont="1" applyBorder="1" applyAlignment="1">
      <alignment horizontal="center" vertical="center"/>
    </xf>
    <xf numFmtId="0" fontId="26" fillId="0" borderId="39" xfId="0" applyFont="1" applyBorder="1" applyAlignment="1">
      <alignment horizontal="left" vertical="center"/>
    </xf>
    <xf numFmtId="0" fontId="27" fillId="0" borderId="39" xfId="0" applyFont="1" applyBorder="1" applyAlignment="1">
      <alignment horizontal="left" vertical="center" wrapText="1"/>
    </xf>
    <xf numFmtId="0" fontId="25" fillId="0" borderId="42" xfId="0" applyFont="1" applyBorder="1" applyAlignment="1">
      <alignment horizontal="left" vertical="center"/>
    </xf>
    <xf numFmtId="0" fontId="25" fillId="0" borderId="39" xfId="0" applyFont="1" applyBorder="1" applyAlignment="1">
      <alignment horizontal="left" vertical="center"/>
    </xf>
    <xf numFmtId="0" fontId="20" fillId="2" borderId="45" xfId="0" applyFont="1" applyFill="1" applyBorder="1" applyAlignment="1">
      <alignment horizontal="center" vertical="center"/>
    </xf>
    <xf numFmtId="0" fontId="24" fillId="0" borderId="12" xfId="0" applyFont="1" applyBorder="1" applyAlignment="1">
      <alignment horizontal="center" vertical="center"/>
    </xf>
    <xf numFmtId="2" fontId="24" fillId="0" borderId="13" xfId="0" applyNumberFormat="1" applyFont="1" applyBorder="1" applyAlignment="1">
      <alignment vertical="center"/>
    </xf>
    <xf numFmtId="2" fontId="24" fillId="0" borderId="12" xfId="0" applyNumberFormat="1" applyFont="1" applyBorder="1" applyAlignment="1">
      <alignment vertical="center"/>
    </xf>
    <xf numFmtId="0" fontId="24" fillId="0" borderId="56" xfId="0" applyFont="1" applyBorder="1" applyAlignment="1">
      <alignment vertical="center"/>
    </xf>
    <xf numFmtId="2" fontId="24" fillId="0" borderId="57" xfId="0" applyNumberFormat="1" applyFont="1" applyBorder="1" applyAlignment="1">
      <alignment vertical="center"/>
    </xf>
    <xf numFmtId="0" fontId="24" fillId="0" borderId="13" xfId="0" applyFont="1" applyBorder="1" applyAlignment="1">
      <alignment vertical="center"/>
    </xf>
    <xf numFmtId="4" fontId="24" fillId="0" borderId="57" xfId="0" applyNumberFormat="1" applyFont="1" applyBorder="1" applyAlignment="1">
      <alignment vertical="center"/>
    </xf>
    <xf numFmtId="164" fontId="24" fillId="0" borderId="12" xfId="5" applyFont="1" applyBorder="1" applyAlignment="1">
      <alignment horizontal="right" vertical="center"/>
    </xf>
    <xf numFmtId="0" fontId="24" fillId="0" borderId="56" xfId="0" applyFont="1" applyBorder="1" applyAlignment="1">
      <alignment horizontal="center" vertical="center"/>
    </xf>
    <xf numFmtId="0" fontId="24" fillId="0" borderId="13" xfId="0" applyFont="1" applyBorder="1" applyAlignment="1">
      <alignment horizontal="center" vertical="center"/>
    </xf>
    <xf numFmtId="164" fontId="24" fillId="0" borderId="57" xfId="5" applyFont="1" applyBorder="1" applyAlignment="1">
      <alignment horizontal="right" vertical="center"/>
    </xf>
    <xf numFmtId="2" fontId="24" fillId="0" borderId="59" xfId="0" applyNumberFormat="1" applyFont="1" applyBorder="1" applyAlignment="1">
      <alignment horizontal="center" vertical="center"/>
    </xf>
    <xf numFmtId="0" fontId="0" fillId="0" borderId="36" xfId="0" applyBorder="1" applyAlignment="1">
      <alignment horizontal="center" vertical="center"/>
    </xf>
    <xf numFmtId="0" fontId="24" fillId="0" borderId="89" xfId="0" applyFont="1" applyBorder="1" applyAlignment="1">
      <alignment vertical="center"/>
    </xf>
    <xf numFmtId="0" fontId="24" fillId="0" borderId="40" xfId="0" applyFont="1" applyBorder="1" applyAlignment="1">
      <alignment horizontal="center" vertical="center"/>
    </xf>
    <xf numFmtId="4" fontId="24" fillId="0" borderId="8" xfId="0" applyNumberFormat="1" applyFont="1" applyBorder="1" applyAlignment="1">
      <alignment horizontal="center" vertical="center"/>
    </xf>
    <xf numFmtId="4" fontId="24" fillId="0" borderId="0" xfId="0" applyNumberFormat="1" applyFont="1" applyAlignment="1">
      <alignment horizontal="center" vertical="center"/>
    </xf>
    <xf numFmtId="4" fontId="24" fillId="2" borderId="8" xfId="0" applyNumberFormat="1" applyFont="1" applyFill="1" applyBorder="1" applyAlignment="1">
      <alignment horizontal="center" vertical="center"/>
    </xf>
    <xf numFmtId="0" fontId="24" fillId="0" borderId="64" xfId="0" applyFont="1" applyBorder="1" applyAlignment="1">
      <alignment horizontal="center" vertical="center"/>
    </xf>
    <xf numFmtId="0" fontId="24" fillId="0" borderId="61" xfId="0" applyFont="1" applyBorder="1" applyAlignment="1">
      <alignment horizontal="center" vertical="center"/>
    </xf>
    <xf numFmtId="0" fontId="24" fillId="0" borderId="0" xfId="3" applyFont="1" applyAlignment="1">
      <alignment horizontal="center" vertical="center"/>
    </xf>
    <xf numFmtId="0" fontId="24" fillId="0" borderId="0" xfId="6" applyFont="1" applyAlignment="1">
      <alignment horizontal="left" vertical="center"/>
    </xf>
    <xf numFmtId="2" fontId="22" fillId="0" borderId="44" xfId="0" applyNumberFormat="1" applyFont="1" applyBorder="1" applyAlignment="1">
      <alignment vertical="center"/>
    </xf>
    <xf numFmtId="0" fontId="22" fillId="0" borderId="0" xfId="0" applyFont="1" applyAlignment="1">
      <alignment vertical="center"/>
    </xf>
    <xf numFmtId="2" fontId="22" fillId="0" borderId="0" xfId="0" applyNumberFormat="1" applyFont="1" applyAlignment="1">
      <alignment horizontal="right" vertical="center"/>
    </xf>
    <xf numFmtId="166" fontId="24" fillId="0" borderId="45" xfId="0" applyNumberFormat="1" applyFont="1" applyBorder="1" applyAlignment="1">
      <alignment horizontal="center" vertical="center"/>
    </xf>
    <xf numFmtId="4" fontId="17" fillId="2" borderId="8" xfId="10" applyNumberFormat="1" applyFill="1" applyBorder="1" applyAlignment="1">
      <alignment horizontal="center" vertical="center"/>
    </xf>
    <xf numFmtId="0" fontId="17" fillId="2" borderId="8" xfId="10" applyFill="1" applyBorder="1" applyAlignment="1">
      <alignment horizontal="center" vertical="center"/>
    </xf>
    <xf numFmtId="9" fontId="44" fillId="0" borderId="0" xfId="0" applyNumberFormat="1" applyFont="1" applyAlignment="1">
      <alignment horizontal="center" vertical="center"/>
    </xf>
    <xf numFmtId="0" fontId="24" fillId="2" borderId="12" xfId="0" applyFont="1" applyFill="1" applyBorder="1" applyAlignment="1">
      <alignment horizontal="right" vertical="center"/>
    </xf>
    <xf numFmtId="0" fontId="24" fillId="2" borderId="56" xfId="0" applyFont="1" applyFill="1" applyBorder="1" applyAlignment="1">
      <alignment horizontal="left" vertical="center"/>
    </xf>
    <xf numFmtId="0" fontId="24" fillId="2" borderId="0" xfId="3" applyFont="1" applyFill="1" applyAlignment="1">
      <alignment horizontal="left" vertical="center"/>
    </xf>
    <xf numFmtId="0" fontId="20" fillId="0" borderId="0" xfId="0" applyFont="1" applyAlignment="1">
      <alignment horizontal="left" vertical="center"/>
    </xf>
    <xf numFmtId="49" fontId="25" fillId="0" borderId="7" xfId="10" applyNumberFormat="1" applyFont="1" applyBorder="1" applyAlignment="1">
      <alignment horizontal="left" vertical="center"/>
    </xf>
    <xf numFmtId="0" fontId="20" fillId="0" borderId="45" xfId="0" applyFont="1" applyBorder="1" applyAlignment="1">
      <alignment vertical="center"/>
    </xf>
    <xf numFmtId="0" fontId="20" fillId="0" borderId="0" xfId="0" applyFont="1" applyAlignment="1">
      <alignment vertical="center"/>
    </xf>
    <xf numFmtId="0" fontId="20" fillId="0" borderId="44" xfId="0" applyFont="1" applyBorder="1" applyAlignment="1">
      <alignment vertical="center"/>
    </xf>
    <xf numFmtId="0" fontId="24" fillId="0" borderId="39" xfId="0" applyFont="1" applyBorder="1" applyAlignment="1">
      <alignment vertical="center"/>
    </xf>
    <xf numFmtId="0" fontId="24" fillId="0" borderId="39" xfId="0" applyFont="1" applyBorder="1" applyAlignment="1">
      <alignment vertical="center" wrapText="1"/>
    </xf>
    <xf numFmtId="0" fontId="24" fillId="2" borderId="0" xfId="3" applyFont="1" applyFill="1" applyAlignment="1">
      <alignment vertical="center" wrapText="1"/>
    </xf>
    <xf numFmtId="0" fontId="17" fillId="0" borderId="8" xfId="0" applyFont="1" applyBorder="1" applyAlignment="1">
      <alignment wrapText="1"/>
    </xf>
    <xf numFmtId="0" fontId="24" fillId="0" borderId="36" xfId="0" applyFont="1" applyBorder="1" applyAlignment="1">
      <alignment horizontal="center" vertical="center" wrapText="1"/>
    </xf>
    <xf numFmtId="0" fontId="25" fillId="0" borderId="14" xfId="0" applyFont="1" applyBorder="1" applyAlignment="1">
      <alignment horizontal="center" vertical="center"/>
    </xf>
    <xf numFmtId="0" fontId="14" fillId="0" borderId="0" xfId="176"/>
    <xf numFmtId="0" fontId="14" fillId="0" borderId="0" xfId="176" applyAlignment="1">
      <alignment horizontal="center" vertical="center"/>
    </xf>
    <xf numFmtId="2" fontId="14" fillId="0" borderId="0" xfId="176" applyNumberFormat="1" applyAlignment="1">
      <alignment horizontal="center" vertical="center"/>
    </xf>
    <xf numFmtId="2" fontId="14" fillId="0" borderId="0" xfId="176" applyNumberFormat="1"/>
    <xf numFmtId="170" fontId="14" fillId="0" borderId="0" xfId="176" applyNumberFormat="1"/>
    <xf numFmtId="0" fontId="20" fillId="2" borderId="0" xfId="0" applyFont="1" applyFill="1" applyAlignment="1">
      <alignment horizontal="center" vertical="center"/>
    </xf>
    <xf numFmtId="0" fontId="20" fillId="10" borderId="19" xfId="3" applyFont="1" applyFill="1" applyBorder="1" applyAlignment="1">
      <alignment horizontal="center" vertical="center" wrapText="1"/>
    </xf>
    <xf numFmtId="0" fontId="17" fillId="0" borderId="8" xfId="0" applyFont="1" applyBorder="1"/>
    <xf numFmtId="2" fontId="0" fillId="0" borderId="8" xfId="0" applyNumberFormat="1" applyBorder="1" applyAlignment="1">
      <alignment horizontal="center"/>
    </xf>
    <xf numFmtId="170" fontId="21" fillId="10" borderId="13" xfId="3" applyNumberFormat="1" applyFont="1" applyFill="1" applyBorder="1" applyAlignment="1">
      <alignment horizontal="center" vertical="center"/>
    </xf>
    <xf numFmtId="0" fontId="13" fillId="0" borderId="0" xfId="176" applyFont="1"/>
    <xf numFmtId="0" fontId="13" fillId="0" borderId="0" xfId="176" applyFont="1" applyAlignment="1">
      <alignment horizontal="center" vertical="center"/>
    </xf>
    <xf numFmtId="0" fontId="24" fillId="0" borderId="42" xfId="0" applyFont="1" applyBorder="1" applyAlignment="1">
      <alignment horizontal="center" vertical="center"/>
    </xf>
    <xf numFmtId="0" fontId="12" fillId="0" borderId="0" xfId="176" applyFont="1" applyAlignment="1">
      <alignment horizontal="center" vertical="center"/>
    </xf>
    <xf numFmtId="2" fontId="12" fillId="0" borderId="0" xfId="176" applyNumberFormat="1" applyFont="1" applyAlignment="1">
      <alignment horizontal="center" vertical="center"/>
    </xf>
    <xf numFmtId="0" fontId="24" fillId="0" borderId="38" xfId="0" applyFont="1" applyBorder="1" applyAlignment="1">
      <alignment horizontal="center" vertical="center"/>
    </xf>
    <xf numFmtId="0" fontId="24" fillId="0" borderId="37" xfId="0" applyFont="1" applyBorder="1" applyAlignment="1">
      <alignment horizontal="center" vertical="center"/>
    </xf>
    <xf numFmtId="0" fontId="24" fillId="0" borderId="48" xfId="0" applyFont="1" applyBorder="1" applyAlignment="1">
      <alignment horizontal="center" vertical="center"/>
    </xf>
    <xf numFmtId="4" fontId="24" fillId="2" borderId="0" xfId="0" applyNumberFormat="1" applyFont="1" applyFill="1" applyAlignment="1">
      <alignment horizontal="center" vertical="center"/>
    </xf>
    <xf numFmtId="4" fontId="24" fillId="0" borderId="36" xfId="0" applyNumberFormat="1" applyFont="1" applyBorder="1" applyAlignment="1">
      <alignment horizontal="center" vertical="center"/>
    </xf>
    <xf numFmtId="0" fontId="20" fillId="0" borderId="0" xfId="0" applyFont="1" applyAlignment="1">
      <alignment horizontal="center" vertical="center"/>
    </xf>
    <xf numFmtId="0" fontId="24" fillId="0" borderId="42" xfId="0" applyFont="1" applyBorder="1" applyAlignment="1">
      <alignment vertical="center" wrapText="1"/>
    </xf>
    <xf numFmtId="0" fontId="20" fillId="0" borderId="18" xfId="3" applyFont="1" applyBorder="1" applyAlignment="1">
      <alignment horizontal="right" vertical="center"/>
    </xf>
    <xf numFmtId="4" fontId="17" fillId="0" borderId="18" xfId="3" applyNumberFormat="1" applyFont="1" applyBorder="1" applyAlignment="1">
      <alignment horizontal="center" vertical="center"/>
    </xf>
    <xf numFmtId="0" fontId="17" fillId="0" borderId="18" xfId="3" applyFont="1" applyBorder="1" applyAlignment="1">
      <alignment horizontal="center" vertical="center"/>
    </xf>
    <xf numFmtId="49" fontId="17" fillId="0" borderId="18" xfId="3" applyNumberFormat="1" applyFont="1" applyBorder="1" applyAlignment="1">
      <alignment horizontal="center" vertical="center"/>
    </xf>
    <xf numFmtId="168" fontId="17" fillId="0" borderId="18" xfId="3" applyNumberFormat="1" applyFont="1" applyBorder="1" applyAlignment="1">
      <alignment horizontal="distributed" vertical="center"/>
    </xf>
    <xf numFmtId="9" fontId="17" fillId="0" borderId="18" xfId="3" applyNumberFormat="1" applyFont="1" applyBorder="1" applyAlignment="1">
      <alignment horizontal="center" vertical="center"/>
    </xf>
    <xf numFmtId="170" fontId="17" fillId="0" borderId="8" xfId="10" applyNumberFormat="1" applyBorder="1" applyAlignment="1">
      <alignment horizontal="center" vertical="center"/>
    </xf>
    <xf numFmtId="170" fontId="20" fillId="3" borderId="14" xfId="3" applyNumberFormat="1" applyFont="1" applyFill="1" applyBorder="1" applyAlignment="1">
      <alignment vertical="center" wrapText="1"/>
    </xf>
    <xf numFmtId="170" fontId="25" fillId="0" borderId="8" xfId="10" applyNumberFormat="1" applyFont="1" applyBorder="1" applyAlignment="1">
      <alignment horizontal="center" vertical="center"/>
    </xf>
    <xf numFmtId="170" fontId="17" fillId="2" borderId="8" xfId="10" applyNumberFormat="1" applyFill="1" applyBorder="1" applyAlignment="1">
      <alignment horizontal="center" vertical="center"/>
    </xf>
    <xf numFmtId="170" fontId="17" fillId="2" borderId="8" xfId="3" applyNumberFormat="1" applyFont="1" applyFill="1" applyBorder="1" applyAlignment="1">
      <alignment horizontal="distributed" vertical="center"/>
    </xf>
    <xf numFmtId="170" fontId="17" fillId="0" borderId="8" xfId="6" applyNumberFormat="1" applyFont="1" applyBorder="1" applyAlignment="1">
      <alignment horizontal="distributed" vertical="center"/>
    </xf>
    <xf numFmtId="170" fontId="17" fillId="0" borderId="8" xfId="3" applyNumberFormat="1" applyFont="1" applyBorder="1" applyAlignment="1">
      <alignment horizontal="distributed" vertical="center"/>
    </xf>
    <xf numFmtId="170" fontId="17" fillId="4" borderId="14" xfId="3" applyNumberFormat="1" applyFont="1" applyFill="1" applyBorder="1" applyAlignment="1">
      <alignment horizontal="center" vertical="center"/>
    </xf>
    <xf numFmtId="170" fontId="20" fillId="3" borderId="14" xfId="3" applyNumberFormat="1" applyFont="1" applyFill="1" applyBorder="1" applyAlignment="1">
      <alignment horizontal="left" vertical="center"/>
    </xf>
    <xf numFmtId="170" fontId="25" fillId="2" borderId="8" xfId="10" applyNumberFormat="1" applyFont="1" applyFill="1" applyBorder="1" applyAlignment="1">
      <alignment horizontal="center" vertical="center"/>
    </xf>
    <xf numFmtId="170" fontId="17" fillId="0" borderId="18" xfId="3" applyNumberFormat="1" applyFont="1" applyBorder="1" applyAlignment="1">
      <alignment horizontal="distributed" vertical="center"/>
    </xf>
    <xf numFmtId="170" fontId="17" fillId="0" borderId="8" xfId="10" applyNumberFormat="1" applyBorder="1" applyAlignment="1">
      <alignment vertical="center"/>
    </xf>
    <xf numFmtId="170" fontId="20" fillId="3" borderId="14" xfId="3" applyNumberFormat="1" applyFont="1" applyFill="1" applyBorder="1" applyAlignment="1">
      <alignment vertical="center"/>
    </xf>
    <xf numFmtId="0" fontId="29" fillId="2" borderId="8" xfId="7" applyFont="1" applyFill="1" applyBorder="1" applyAlignment="1">
      <alignment horizontal="center" vertical="center"/>
    </xf>
    <xf numFmtId="0" fontId="54" fillId="0" borderId="0" xfId="134" applyFont="1" applyAlignment="1">
      <alignment horizontal="center" vertical="center"/>
    </xf>
    <xf numFmtId="0" fontId="55" fillId="0" borderId="0" xfId="90" applyFont="1" applyAlignment="1">
      <alignment horizontal="left" vertical="center"/>
    </xf>
    <xf numFmtId="0" fontId="55" fillId="0" borderId="0" xfId="134" applyFont="1" applyAlignment="1">
      <alignment vertical="center"/>
    </xf>
    <xf numFmtId="0" fontId="56" fillId="0" borderId="0" xfId="0" applyFont="1"/>
    <xf numFmtId="0" fontId="54" fillId="0" borderId="0" xfId="0" applyFont="1" applyAlignment="1">
      <alignment horizontal="left" vertical="center"/>
    </xf>
    <xf numFmtId="0" fontId="55" fillId="0" borderId="0" xfId="0" applyFont="1" applyAlignment="1">
      <alignment horizontal="left" vertical="center"/>
    </xf>
    <xf numFmtId="0" fontId="17" fillId="0" borderId="12" xfId="10" applyBorder="1" applyAlignment="1">
      <alignment vertical="center" wrapText="1"/>
    </xf>
    <xf numFmtId="170" fontId="20" fillId="0" borderId="8" xfId="3" applyNumberFormat="1" applyFont="1" applyBorder="1" applyAlignment="1">
      <alignment horizontal="center" vertical="center" wrapText="1"/>
    </xf>
    <xf numFmtId="1" fontId="17" fillId="0" borderId="8" xfId="10" applyNumberFormat="1" applyBorder="1" applyAlignment="1">
      <alignment horizontal="center" vertical="center"/>
    </xf>
    <xf numFmtId="0" fontId="0" fillId="0" borderId="0" xfId="0" applyAlignment="1">
      <alignment horizontal="center" vertical="center"/>
    </xf>
    <xf numFmtId="0" fontId="17" fillId="0" borderId="0" xfId="177"/>
    <xf numFmtId="0" fontId="17" fillId="0" borderId="17" xfId="177" applyBorder="1"/>
    <xf numFmtId="0" fontId="17" fillId="0" borderId="16" xfId="177" applyBorder="1"/>
    <xf numFmtId="0" fontId="17" fillId="0" borderId="17" xfId="177" applyBorder="1" applyAlignment="1">
      <alignment horizontal="center" vertical="center"/>
    </xf>
    <xf numFmtId="0" fontId="17" fillId="0" borderId="0" xfId="177" applyAlignment="1">
      <alignment horizontal="center" vertical="center"/>
    </xf>
    <xf numFmtId="0" fontId="17" fillId="0" borderId="16" xfId="177" applyBorder="1" applyAlignment="1">
      <alignment horizontal="center" vertical="center"/>
    </xf>
    <xf numFmtId="2" fontId="17" fillId="0" borderId="30" xfId="177" applyNumberFormat="1" applyBorder="1" applyAlignment="1">
      <alignment horizontal="center" vertical="center"/>
    </xf>
    <xf numFmtId="2" fontId="17" fillId="0" borderId="32" xfId="177" applyNumberFormat="1" applyBorder="1" applyAlignment="1">
      <alignment horizontal="center" vertical="center"/>
    </xf>
    <xf numFmtId="2" fontId="17" fillId="0" borderId="31" xfId="177" applyNumberFormat="1" applyBorder="1" applyAlignment="1">
      <alignment horizontal="center" vertical="center"/>
    </xf>
    <xf numFmtId="2" fontId="17" fillId="0" borderId="0" xfId="177" applyNumberFormat="1" applyAlignment="1">
      <alignment horizontal="center"/>
    </xf>
    <xf numFmtId="0" fontId="17" fillId="0" borderId="30" xfId="177" applyBorder="1"/>
    <xf numFmtId="0" fontId="17" fillId="0" borderId="32" xfId="177" applyBorder="1" applyAlignment="1">
      <alignment horizontal="center"/>
    </xf>
    <xf numFmtId="0" fontId="17" fillId="0" borderId="32" xfId="177" applyBorder="1"/>
    <xf numFmtId="0" fontId="17" fillId="0" borderId="31" xfId="177" applyBorder="1"/>
    <xf numFmtId="2" fontId="58" fillId="0" borderId="0" xfId="177" applyNumberFormat="1" applyFont="1" applyAlignment="1">
      <alignment horizontal="center"/>
    </xf>
    <xf numFmtId="0" fontId="17" fillId="0" borderId="8" xfId="10" applyBorder="1" applyAlignment="1">
      <alignment horizontal="justify" vertical="center" wrapText="1"/>
    </xf>
    <xf numFmtId="2" fontId="17" fillId="0" borderId="8" xfId="10" applyNumberFormat="1" applyBorder="1" applyAlignment="1">
      <alignment horizontal="center" vertical="center"/>
    </xf>
    <xf numFmtId="1" fontId="17" fillId="0" borderId="13" xfId="10" applyNumberFormat="1" applyBorder="1" applyAlignment="1">
      <alignment horizontal="center" vertical="center"/>
    </xf>
    <xf numFmtId="167" fontId="25" fillId="0" borderId="8" xfId="1" applyNumberFormat="1" applyFont="1" applyFill="1" applyBorder="1" applyAlignment="1">
      <alignment horizontal="distributed" vertical="center"/>
    </xf>
    <xf numFmtId="0" fontId="20" fillId="13" borderId="31" xfId="10" applyFont="1" applyFill="1" applyBorder="1" applyAlignment="1">
      <alignment horizontal="center" vertical="center" wrapText="1"/>
    </xf>
    <xf numFmtId="0" fontId="20" fillId="13" borderId="0" xfId="10" applyFont="1" applyFill="1" applyAlignment="1">
      <alignment vertical="center" wrapText="1"/>
    </xf>
    <xf numFmtId="0" fontId="20" fillId="13" borderId="0" xfId="10" applyFont="1" applyFill="1" applyAlignment="1">
      <alignment horizontal="center" vertical="center" wrapText="1"/>
    </xf>
    <xf numFmtId="0" fontId="20" fillId="13" borderId="32" xfId="10" applyFont="1" applyFill="1" applyBorder="1" applyAlignment="1">
      <alignment horizontal="center" vertical="center" wrapText="1"/>
    </xf>
    <xf numFmtId="2" fontId="17" fillId="0" borderId="0" xfId="177" applyNumberFormat="1" applyAlignment="1">
      <alignment horizontal="center" vertical="center"/>
    </xf>
    <xf numFmtId="2" fontId="26" fillId="0" borderId="0" xfId="177" applyNumberFormat="1" applyFont="1" applyAlignment="1">
      <alignment horizontal="center"/>
    </xf>
    <xf numFmtId="0" fontId="20" fillId="0" borderId="0" xfId="177" applyFont="1"/>
    <xf numFmtId="0" fontId="20" fillId="0" borderId="0" xfId="177" applyFont="1" applyAlignment="1">
      <alignment horizontal="center"/>
    </xf>
    <xf numFmtId="0" fontId="20" fillId="0" borderId="0" xfId="10" applyFont="1" applyAlignment="1">
      <alignment vertical="center"/>
    </xf>
    <xf numFmtId="0" fontId="26" fillId="6" borderId="14" xfId="65" applyFont="1" applyFill="1" applyBorder="1" applyAlignment="1">
      <alignment horizontal="center" vertical="center"/>
    </xf>
    <xf numFmtId="2" fontId="57" fillId="6" borderId="13" xfId="65" applyNumberFormat="1" applyFont="1" applyFill="1" applyBorder="1" applyAlignment="1">
      <alignment horizontal="center" vertical="center"/>
    </xf>
    <xf numFmtId="0" fontId="17" fillId="0" borderId="0" xfId="65"/>
    <xf numFmtId="0" fontId="17" fillId="0" borderId="22" xfId="65" applyBorder="1"/>
    <xf numFmtId="0" fontId="17" fillId="0" borderId="20" xfId="65" applyBorder="1"/>
    <xf numFmtId="0" fontId="17" fillId="0" borderId="23" xfId="65" applyBorder="1"/>
    <xf numFmtId="0" fontId="17" fillId="0" borderId="17" xfId="65" applyBorder="1"/>
    <xf numFmtId="2" fontId="17" fillId="0" borderId="0" xfId="65" applyNumberFormat="1" applyAlignment="1">
      <alignment horizontal="center"/>
    </xf>
    <xf numFmtId="0" fontId="17" fillId="0" borderId="30" xfId="65" applyBorder="1"/>
    <xf numFmtId="2" fontId="17" fillId="0" borderId="32" xfId="65" applyNumberFormat="1" applyBorder="1" applyAlignment="1">
      <alignment horizontal="center"/>
    </xf>
    <xf numFmtId="0" fontId="17" fillId="0" borderId="31" xfId="65" applyBorder="1" applyAlignment="1">
      <alignment horizontal="center"/>
    </xf>
    <xf numFmtId="0" fontId="17" fillId="0" borderId="0" xfId="65" applyAlignment="1">
      <alignment horizontal="center" vertical="center"/>
    </xf>
    <xf numFmtId="2" fontId="17" fillId="0" borderId="0" xfId="65" applyNumberFormat="1" applyAlignment="1">
      <alignment horizontal="center" vertical="center"/>
    </xf>
    <xf numFmtId="0" fontId="17" fillId="0" borderId="16" xfId="65" applyBorder="1" applyAlignment="1">
      <alignment horizontal="center" vertical="center"/>
    </xf>
    <xf numFmtId="0" fontId="20" fillId="0" borderId="0" xfId="65" applyFont="1"/>
    <xf numFmtId="0" fontId="17" fillId="0" borderId="16" xfId="65" applyBorder="1"/>
    <xf numFmtId="2" fontId="57" fillId="0" borderId="0" xfId="65" applyNumberFormat="1" applyFont="1" applyAlignment="1">
      <alignment horizontal="center" vertical="center"/>
    </xf>
    <xf numFmtId="0" fontId="20" fillId="0" borderId="0" xfId="65" applyFont="1" applyAlignment="1">
      <alignment horizontal="center" vertical="center"/>
    </xf>
    <xf numFmtId="0" fontId="57" fillId="0" borderId="0" xfId="65" applyFont="1"/>
    <xf numFmtId="0" fontId="17" fillId="0" borderId="0" xfId="10" applyAlignment="1">
      <alignment horizontal="left" vertical="center"/>
    </xf>
    <xf numFmtId="2" fontId="17" fillId="0" borderId="0" xfId="10" applyNumberFormat="1" applyAlignment="1">
      <alignment horizontal="center" vertical="center"/>
    </xf>
    <xf numFmtId="0" fontId="11" fillId="0" borderId="0" xfId="180"/>
    <xf numFmtId="10" fontId="55" fillId="0" borderId="8" xfId="144" applyNumberFormat="1" applyFont="1" applyBorder="1" applyAlignment="1">
      <alignment horizontal="center" vertical="center"/>
    </xf>
    <xf numFmtId="0" fontId="17" fillId="0" borderId="1" xfId="42" applyBorder="1" applyAlignment="1">
      <alignment vertical="center"/>
    </xf>
    <xf numFmtId="0" fontId="17" fillId="0" borderId="0" xfId="42" applyAlignment="1">
      <alignment vertical="center"/>
    </xf>
    <xf numFmtId="0" fontId="61" fillId="0" borderId="0" xfId="42" applyFont="1" applyAlignment="1">
      <alignment vertical="center"/>
    </xf>
    <xf numFmtId="0" fontId="61" fillId="0" borderId="2" xfId="42" applyFont="1" applyBorder="1" applyAlignment="1">
      <alignment vertical="center"/>
    </xf>
    <xf numFmtId="0" fontId="17" fillId="0" borderId="2" xfId="42" applyBorder="1" applyAlignment="1">
      <alignment vertical="center"/>
    </xf>
    <xf numFmtId="0" fontId="59" fillId="0" borderId="8" xfId="42" applyFont="1" applyBorder="1" applyAlignment="1">
      <alignment horizontal="center" vertical="center"/>
    </xf>
    <xf numFmtId="0" fontId="61" fillId="0" borderId="8" xfId="42" applyFont="1" applyBorder="1" applyAlignment="1">
      <alignment horizontal="center" vertical="center"/>
    </xf>
    <xf numFmtId="2" fontId="61" fillId="0" borderId="8" xfId="42" applyNumberFormat="1" applyFont="1" applyBorder="1" applyAlignment="1">
      <alignment horizontal="center" vertical="center"/>
    </xf>
    <xf numFmtId="49" fontId="61" fillId="0" borderId="8" xfId="42" applyNumberFormat="1" applyFont="1" applyBorder="1" applyAlignment="1">
      <alignment horizontal="center" vertical="center"/>
    </xf>
    <xf numFmtId="0" fontId="20" fillId="13" borderId="8" xfId="42" applyFont="1" applyFill="1" applyBorder="1" applyAlignment="1">
      <alignment horizontal="center" vertical="center"/>
    </xf>
    <xf numFmtId="0" fontId="20" fillId="13" borderId="8" xfId="42" applyFont="1" applyFill="1" applyBorder="1" applyAlignment="1">
      <alignment vertical="center"/>
    </xf>
    <xf numFmtId="1" fontId="61" fillId="0" borderId="8" xfId="42" applyNumberFormat="1" applyFont="1" applyBorder="1" applyAlignment="1">
      <alignment horizontal="center" vertical="center"/>
    </xf>
    <xf numFmtId="2" fontId="61" fillId="0" borderId="0" xfId="42" applyNumberFormat="1" applyFont="1" applyAlignment="1">
      <alignment vertical="center"/>
    </xf>
    <xf numFmtId="176" fontId="61" fillId="0" borderId="0" xfId="42" applyNumberFormat="1" applyFont="1" applyAlignment="1">
      <alignment horizontal="center" vertical="center"/>
    </xf>
    <xf numFmtId="0" fontId="59" fillId="0" borderId="8" xfId="42" applyFont="1" applyBorder="1" applyAlignment="1">
      <alignment vertical="center"/>
    </xf>
    <xf numFmtId="176" fontId="61" fillId="0" borderId="8" xfId="42" applyNumberFormat="1" applyFont="1" applyBorder="1" applyAlignment="1">
      <alignment horizontal="center" vertical="center"/>
    </xf>
    <xf numFmtId="0" fontId="59" fillId="0" borderId="0" xfId="42" applyFont="1" applyAlignment="1">
      <alignment horizontal="center" vertical="center"/>
    </xf>
    <xf numFmtId="2" fontId="59" fillId="0" borderId="8" xfId="42" applyNumberFormat="1" applyFont="1" applyBorder="1" applyAlignment="1">
      <alignment horizontal="center" vertical="center"/>
    </xf>
    <xf numFmtId="2" fontId="59" fillId="0" borderId="0" xfId="42" applyNumberFormat="1" applyFont="1" applyAlignment="1">
      <alignment horizontal="center" vertical="center"/>
    </xf>
    <xf numFmtId="2" fontId="61" fillId="0" borderId="18" xfId="42" applyNumberFormat="1" applyFont="1" applyBorder="1" applyAlignment="1">
      <alignment horizontal="center" vertical="center"/>
    </xf>
    <xf numFmtId="0" fontId="61" fillId="0" borderId="4" xfId="42" applyFont="1" applyBorder="1" applyAlignment="1">
      <alignment vertical="center"/>
    </xf>
    <xf numFmtId="0" fontId="61" fillId="0" borderId="5" xfId="42" applyFont="1" applyBorder="1" applyAlignment="1">
      <alignment vertical="center"/>
    </xf>
    <xf numFmtId="0" fontId="25" fillId="0" borderId="8" xfId="10" applyFont="1" applyBorder="1" applyAlignment="1">
      <alignment horizontal="justify" vertical="center"/>
    </xf>
    <xf numFmtId="2" fontId="25" fillId="0" borderId="8" xfId="10" applyNumberFormat="1" applyFont="1" applyBorder="1" applyAlignment="1">
      <alignment horizontal="center" vertical="center"/>
    </xf>
    <xf numFmtId="0" fontId="25" fillId="0" borderId="8" xfId="10" applyFont="1" applyBorder="1" applyAlignment="1">
      <alignment horizontal="justify" vertical="center" wrapText="1"/>
    </xf>
    <xf numFmtId="170" fontId="17" fillId="0" borderId="8" xfId="1" applyNumberFormat="1" applyFont="1" applyFill="1" applyBorder="1" applyAlignment="1">
      <alignment horizontal="distributed" vertical="center"/>
    </xf>
    <xf numFmtId="167" fontId="25" fillId="0" borderId="7" xfId="1" applyNumberFormat="1" applyFont="1" applyFill="1" applyBorder="1" applyAlignment="1">
      <alignment horizontal="distributed" vertical="center"/>
    </xf>
    <xf numFmtId="168" fontId="17" fillId="2" borderId="7" xfId="3" applyNumberFormat="1" applyFont="1" applyFill="1" applyBorder="1" applyAlignment="1">
      <alignment horizontal="distributed" vertical="center"/>
    </xf>
    <xf numFmtId="4" fontId="25" fillId="0" borderId="8" xfId="3"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17" fillId="0" borderId="0" xfId="3" applyFont="1" applyAlignment="1">
      <alignment vertical="center"/>
    </xf>
    <xf numFmtId="170" fontId="18" fillId="0" borderId="0" xfId="3" applyNumberFormat="1" applyAlignment="1">
      <alignment vertical="center"/>
    </xf>
    <xf numFmtId="0" fontId="14" fillId="0" borderId="20" xfId="176" applyBorder="1"/>
    <xf numFmtId="0" fontId="14" fillId="0" borderId="23" xfId="176" applyBorder="1"/>
    <xf numFmtId="0" fontId="14" fillId="0" borderId="17" xfId="176" applyBorder="1"/>
    <xf numFmtId="0" fontId="14" fillId="0" borderId="16" xfId="176" applyBorder="1"/>
    <xf numFmtId="0" fontId="10" fillId="0" borderId="0" xfId="176" applyFont="1"/>
    <xf numFmtId="0" fontId="9" fillId="0" borderId="0" xfId="176" applyFont="1"/>
    <xf numFmtId="0" fontId="9" fillId="0" borderId="0" xfId="176" applyFont="1" applyAlignment="1">
      <alignment horizontal="center" vertical="center"/>
    </xf>
    <xf numFmtId="170" fontId="14" fillId="0" borderId="0" xfId="176" applyNumberFormat="1" applyAlignment="1">
      <alignment horizontal="center" vertical="center"/>
    </xf>
    <xf numFmtId="0" fontId="49" fillId="0" borderId="0" xfId="176" applyFont="1" applyAlignment="1">
      <alignment horizontal="center" vertical="center"/>
    </xf>
    <xf numFmtId="170" fontId="49" fillId="0" borderId="0" xfId="176" applyNumberFormat="1" applyFont="1" applyAlignment="1">
      <alignment horizontal="center" vertical="center"/>
    </xf>
    <xf numFmtId="0" fontId="14" fillId="0" borderId="30" xfId="176" applyBorder="1"/>
    <xf numFmtId="0" fontId="14" fillId="0" borderId="32" xfId="176" applyBorder="1"/>
    <xf numFmtId="0" fontId="14" fillId="0" borderId="31" xfId="176" applyBorder="1"/>
    <xf numFmtId="0" fontId="49" fillId="0" borderId="0" xfId="176" applyFont="1" applyAlignment="1">
      <alignment horizontal="center"/>
    </xf>
    <xf numFmtId="2" fontId="10" fillId="0" borderId="0" xfId="176" applyNumberFormat="1" applyFont="1" applyAlignment="1">
      <alignment horizontal="center" vertical="center"/>
    </xf>
    <xf numFmtId="0" fontId="49" fillId="0" borderId="17" xfId="176" applyFont="1" applyBorder="1"/>
    <xf numFmtId="0" fontId="49" fillId="0" borderId="32" xfId="176" applyFont="1" applyBorder="1" applyAlignment="1">
      <alignment horizontal="center" vertical="center"/>
    </xf>
    <xf numFmtId="168" fontId="49" fillId="0" borderId="32" xfId="176" applyNumberFormat="1" applyFont="1" applyBorder="1" applyAlignment="1">
      <alignment horizontal="center" vertical="center"/>
    </xf>
    <xf numFmtId="0" fontId="49" fillId="0" borderId="22" xfId="176" applyFont="1" applyBorder="1"/>
    <xf numFmtId="0" fontId="50" fillId="0" borderId="0" xfId="176" applyFont="1" applyAlignment="1">
      <alignment horizontal="center" vertical="center"/>
    </xf>
    <xf numFmtId="0" fontId="12" fillId="0" borderId="17" xfId="176" applyFont="1" applyBorder="1"/>
    <xf numFmtId="170" fontId="14" fillId="0" borderId="32" xfId="176" applyNumberFormat="1" applyBorder="1"/>
    <xf numFmtId="0" fontId="14" fillId="0" borderId="32" xfId="176" applyBorder="1" applyAlignment="1">
      <alignment horizontal="center" vertical="center"/>
    </xf>
    <xf numFmtId="2" fontId="9" fillId="0" borderId="0" xfId="176" applyNumberFormat="1" applyFont="1" applyAlignment="1">
      <alignment horizontal="center" vertical="center"/>
    </xf>
    <xf numFmtId="170" fontId="9" fillId="0" borderId="0" xfId="176" applyNumberFormat="1" applyFont="1" applyAlignment="1">
      <alignment horizontal="center" vertical="center"/>
    </xf>
    <xf numFmtId="0" fontId="8" fillId="0" borderId="0" xfId="176" applyFont="1"/>
    <xf numFmtId="0" fontId="8" fillId="0" borderId="0" xfId="176" applyFont="1" applyAlignment="1">
      <alignment horizontal="center" vertical="center"/>
    </xf>
    <xf numFmtId="170" fontId="8" fillId="0" borderId="0" xfId="176" applyNumberFormat="1" applyFont="1" applyAlignment="1">
      <alignment horizontal="center" vertical="center"/>
    </xf>
    <xf numFmtId="170" fontId="9" fillId="0" borderId="0" xfId="176" applyNumberFormat="1" applyFont="1" applyAlignment="1">
      <alignment horizontal="right" vertical="center"/>
    </xf>
    <xf numFmtId="2" fontId="49" fillId="0" borderId="0" xfId="176" applyNumberFormat="1" applyFont="1" applyAlignment="1">
      <alignment horizontal="center" vertical="center"/>
    </xf>
    <xf numFmtId="0" fontId="8" fillId="0" borderId="16" xfId="176" applyFont="1" applyBorder="1" applyAlignment="1">
      <alignment horizontal="center" vertical="center"/>
    </xf>
    <xf numFmtId="0" fontId="8" fillId="0" borderId="16" xfId="176" applyFont="1" applyBorder="1"/>
    <xf numFmtId="2" fontId="14" fillId="0" borderId="32" xfId="176" applyNumberFormat="1" applyBorder="1" applyAlignment="1">
      <alignment horizontal="center" vertical="center"/>
    </xf>
    <xf numFmtId="0" fontId="8" fillId="0" borderId="32" xfId="176" applyFont="1" applyBorder="1" applyAlignment="1">
      <alignment horizontal="center" vertical="center"/>
    </xf>
    <xf numFmtId="0" fontId="8" fillId="0" borderId="32" xfId="176" applyFont="1" applyBorder="1"/>
    <xf numFmtId="170" fontId="49" fillId="0" borderId="32" xfId="176" applyNumberFormat="1" applyFont="1" applyBorder="1" applyAlignment="1">
      <alignment horizontal="center" vertical="center"/>
    </xf>
    <xf numFmtId="0" fontId="49" fillId="0" borderId="0" xfId="176" applyFont="1"/>
    <xf numFmtId="0" fontId="14" fillId="0" borderId="22" xfId="176" applyBorder="1" applyAlignment="1">
      <alignment horizontal="center" vertical="center"/>
    </xf>
    <xf numFmtId="0" fontId="14" fillId="0" borderId="17" xfId="176" applyBorder="1" applyAlignment="1">
      <alignment horizontal="center" vertical="center"/>
    </xf>
    <xf numFmtId="0" fontId="9" fillId="0" borderId="17" xfId="176" applyFont="1" applyBorder="1" applyAlignment="1">
      <alignment horizontal="center" vertical="center"/>
    </xf>
    <xf numFmtId="0" fontId="9" fillId="0" borderId="30" xfId="176" applyFont="1" applyBorder="1" applyAlignment="1">
      <alignment horizontal="center" vertical="center"/>
    </xf>
    <xf numFmtId="0" fontId="9" fillId="0" borderId="32" xfId="176" applyFont="1" applyBorder="1"/>
    <xf numFmtId="170" fontId="14" fillId="0" borderId="20" xfId="176" applyNumberFormat="1" applyBorder="1"/>
    <xf numFmtId="0" fontId="49" fillId="0" borderId="20" xfId="176" applyFont="1" applyBorder="1"/>
    <xf numFmtId="168" fontId="49" fillId="0" borderId="0" xfId="176" applyNumberFormat="1" applyFont="1" applyAlignment="1">
      <alignment horizontal="center"/>
    </xf>
    <xf numFmtId="0" fontId="14" fillId="0" borderId="30" xfId="176" applyBorder="1" applyAlignment="1">
      <alignment horizontal="center" vertical="center"/>
    </xf>
    <xf numFmtId="0" fontId="7" fillId="0" borderId="0" xfId="176" applyFont="1"/>
    <xf numFmtId="0" fontId="7" fillId="0" borderId="0" xfId="176" applyFont="1" applyAlignment="1">
      <alignment horizontal="center" vertical="center"/>
    </xf>
    <xf numFmtId="0" fontId="6" fillId="0" borderId="0" xfId="176" applyFont="1"/>
    <xf numFmtId="0" fontId="6" fillId="0" borderId="17" xfId="176" applyFont="1" applyBorder="1" applyAlignment="1">
      <alignment horizontal="center" vertical="center"/>
    </xf>
    <xf numFmtId="0" fontId="6" fillId="0" borderId="0" xfId="176" applyFont="1" applyAlignment="1">
      <alignment wrapText="1"/>
    </xf>
    <xf numFmtId="0" fontId="6" fillId="0" borderId="0" xfId="176" applyFont="1" applyAlignment="1">
      <alignment vertical="center"/>
    </xf>
    <xf numFmtId="0" fontId="6" fillId="0" borderId="0" xfId="176" applyFont="1" applyAlignment="1">
      <alignment horizontal="left" vertical="center" wrapText="1"/>
    </xf>
    <xf numFmtId="0" fontId="6" fillId="0" borderId="0" xfId="176" applyFont="1" applyAlignment="1">
      <alignment horizontal="center" vertical="center"/>
    </xf>
    <xf numFmtId="170" fontId="6" fillId="0" borderId="0" xfId="176" applyNumberFormat="1" applyFont="1" applyAlignment="1">
      <alignment horizontal="center" vertical="center"/>
    </xf>
    <xf numFmtId="0" fontId="6" fillId="0" borderId="0" xfId="176" applyFont="1" applyAlignment="1">
      <alignment horizontal="left" vertical="center"/>
    </xf>
    <xf numFmtId="2" fontId="5" fillId="0" borderId="0" xfId="176" applyNumberFormat="1" applyFont="1" applyAlignment="1">
      <alignment horizontal="center" vertical="center"/>
    </xf>
    <xf numFmtId="0" fontId="5" fillId="0" borderId="0" xfId="176" applyFont="1" applyAlignment="1">
      <alignment horizontal="center" vertical="center"/>
    </xf>
    <xf numFmtId="0" fontId="5" fillId="0" borderId="0" xfId="176" applyFont="1"/>
    <xf numFmtId="0" fontId="5" fillId="0" borderId="0" xfId="176" applyFont="1" applyAlignment="1">
      <alignment wrapText="1"/>
    </xf>
    <xf numFmtId="0" fontId="9" fillId="0" borderId="0" xfId="176" applyFont="1" applyAlignment="1">
      <alignment wrapText="1"/>
    </xf>
    <xf numFmtId="0" fontId="9" fillId="0" borderId="0" xfId="176" applyFont="1" applyAlignment="1">
      <alignment vertical="center"/>
    </xf>
    <xf numFmtId="0" fontId="4" fillId="0" borderId="0" xfId="176" applyFont="1" applyAlignment="1">
      <alignment horizontal="center" vertical="center"/>
    </xf>
    <xf numFmtId="0" fontId="4" fillId="0" borderId="0" xfId="176" applyFont="1" applyAlignment="1">
      <alignment vertical="center"/>
    </xf>
    <xf numFmtId="0" fontId="4" fillId="0" borderId="17" xfId="176" applyFont="1" applyBorder="1" applyAlignment="1">
      <alignment horizontal="center" vertical="center"/>
    </xf>
    <xf numFmtId="0" fontId="49" fillId="0" borderId="0" xfId="176" applyFont="1" applyAlignment="1">
      <alignment horizontal="center" vertical="center" wrapText="1"/>
    </xf>
    <xf numFmtId="2" fontId="50" fillId="0" borderId="0" xfId="176" applyNumberFormat="1" applyFont="1" applyAlignment="1">
      <alignment horizontal="center" vertical="center"/>
    </xf>
    <xf numFmtId="168" fontId="25" fillId="0" borderId="8" xfId="10" applyNumberFormat="1" applyFont="1" applyBorder="1" applyAlignment="1">
      <alignment horizontal="distributed" vertical="center"/>
    </xf>
    <xf numFmtId="168" fontId="17" fillId="0" borderId="8" xfId="10" applyNumberFormat="1" applyBorder="1" applyAlignment="1">
      <alignment horizontal="distributed" vertical="center"/>
    </xf>
    <xf numFmtId="168" fontId="25" fillId="0" borderId="8" xfId="3" applyNumberFormat="1" applyFont="1" applyBorder="1" applyAlignment="1">
      <alignment horizontal="distributed" vertical="center"/>
    </xf>
    <xf numFmtId="167" fontId="17" fillId="0" borderId="8" xfId="9" applyNumberFormat="1" applyFont="1" applyFill="1" applyBorder="1" applyAlignment="1">
      <alignment horizontal="distributed" vertical="center"/>
    </xf>
    <xf numFmtId="0" fontId="17" fillId="4" borderId="14" xfId="3" applyFont="1" applyFill="1" applyBorder="1" applyAlignment="1">
      <alignment horizontal="center" vertical="center"/>
    </xf>
    <xf numFmtId="0" fontId="20" fillId="3" borderId="8" xfId="3" applyFont="1" applyFill="1" applyBorder="1" applyAlignment="1">
      <alignment horizontal="left" vertical="center"/>
    </xf>
    <xf numFmtId="0" fontId="25" fillId="0" borderId="8" xfId="0" applyFont="1" applyBorder="1" applyAlignment="1">
      <alignment horizontal="center" vertical="center"/>
    </xf>
    <xf numFmtId="0" fontId="24" fillId="0" borderId="0" xfId="0" applyFont="1" applyAlignment="1">
      <alignment horizontal="left" vertical="center" wrapText="1"/>
    </xf>
    <xf numFmtId="0" fontId="20" fillId="0" borderId="42" xfId="0" applyFont="1" applyBorder="1" applyAlignment="1">
      <alignment horizontal="left" vertical="center"/>
    </xf>
    <xf numFmtId="0" fontId="20" fillId="0" borderId="39" xfId="0" applyFont="1" applyBorder="1" applyAlignment="1">
      <alignment horizontal="left" vertical="center"/>
    </xf>
    <xf numFmtId="0" fontId="24" fillId="0" borderId="42" xfId="0" applyFont="1" applyBorder="1" applyAlignment="1">
      <alignment horizontal="left" vertical="center" wrapText="1"/>
    </xf>
    <xf numFmtId="0" fontId="24" fillId="0" borderId="39" xfId="0" applyFont="1" applyBorder="1" applyAlignment="1">
      <alignment horizontal="left" vertical="center" wrapText="1"/>
    </xf>
    <xf numFmtId="0" fontId="24" fillId="2" borderId="42" xfId="0" applyFont="1" applyFill="1" applyBorder="1" applyAlignment="1">
      <alignment horizontal="left" vertical="center"/>
    </xf>
    <xf numFmtId="0" fontId="24" fillId="2" borderId="39" xfId="0" applyFont="1" applyFill="1" applyBorder="1" applyAlignment="1">
      <alignment horizontal="left" vertical="center"/>
    </xf>
    <xf numFmtId="0" fontId="24" fillId="0" borderId="39" xfId="0" applyFont="1" applyBorder="1" applyAlignment="1">
      <alignment horizontal="left"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5" fillId="0" borderId="0" xfId="0" applyFont="1" applyAlignment="1">
      <alignment horizontal="left" vertical="center"/>
    </xf>
    <xf numFmtId="2" fontId="25" fillId="0" borderId="0" xfId="0" applyNumberFormat="1" applyFont="1" applyAlignment="1">
      <alignment horizontal="left" vertical="center"/>
    </xf>
    <xf numFmtId="0" fontId="20" fillId="2" borderId="0" xfId="0" applyFont="1" applyFill="1" applyAlignment="1">
      <alignment horizontal="left" vertical="center"/>
    </xf>
    <xf numFmtId="0" fontId="20" fillId="2" borderId="43" xfId="0" applyFont="1" applyFill="1" applyBorder="1" applyAlignment="1">
      <alignment horizontal="left" vertical="center"/>
    </xf>
    <xf numFmtId="0" fontId="22" fillId="0" borderId="0" xfId="0" applyFont="1" applyAlignment="1">
      <alignment horizontal="center" vertical="center"/>
    </xf>
    <xf numFmtId="0" fontId="20" fillId="0" borderId="24" xfId="10" applyFont="1" applyBorder="1" applyAlignment="1">
      <alignment horizontal="center" vertical="center"/>
    </xf>
    <xf numFmtId="0" fontId="20" fillId="3" borderId="8" xfId="3" applyFont="1" applyFill="1" applyBorder="1" applyAlignment="1">
      <alignment horizontal="center" vertical="center"/>
    </xf>
    <xf numFmtId="0" fontId="20" fillId="3" borderId="13" xfId="3" applyFont="1" applyFill="1" applyBorder="1" applyAlignment="1">
      <alignment vertical="center"/>
    </xf>
    <xf numFmtId="0" fontId="17" fillId="0" borderId="7" xfId="10" applyBorder="1" applyAlignment="1">
      <alignment horizontal="center" vertical="center"/>
    </xf>
    <xf numFmtId="170" fontId="20" fillId="0" borderId="8" xfId="1" applyNumberFormat="1" applyFont="1" applyFill="1" applyBorder="1" applyAlignment="1">
      <alignment horizontal="distributed" vertical="center"/>
    </xf>
    <xf numFmtId="170" fontId="20" fillId="0" borderId="18" xfId="1" applyNumberFormat="1" applyFont="1" applyFill="1" applyBorder="1" applyAlignment="1">
      <alignment horizontal="distributed" vertical="center"/>
    </xf>
    <xf numFmtId="0" fontId="20" fillId="3" borderId="7" xfId="3" applyFont="1" applyFill="1" applyBorder="1" applyAlignment="1">
      <alignment horizontal="center" vertical="center"/>
    </xf>
    <xf numFmtId="0" fontId="20" fillId="3" borderId="13" xfId="3" applyFont="1" applyFill="1" applyBorder="1" applyAlignment="1">
      <alignment horizontal="left" vertical="center"/>
    </xf>
    <xf numFmtId="170" fontId="20" fillId="3" borderId="13" xfId="3" applyNumberFormat="1" applyFont="1" applyFill="1" applyBorder="1" applyAlignment="1">
      <alignment vertical="center" wrapText="1"/>
    </xf>
    <xf numFmtId="0" fontId="20" fillId="3" borderId="12" xfId="3" applyFont="1" applyFill="1" applyBorder="1" applyAlignment="1">
      <alignment horizontal="center" vertical="center"/>
    </xf>
    <xf numFmtId="0" fontId="20" fillId="3" borderId="13" xfId="3" applyFont="1" applyFill="1" applyBorder="1" applyAlignment="1">
      <alignment vertical="center" wrapText="1"/>
    </xf>
    <xf numFmtId="170" fontId="17" fillId="0" borderId="8" xfId="1" applyNumberFormat="1" applyFont="1" applyFill="1" applyBorder="1" applyAlignment="1">
      <alignment horizontal="center" vertical="center"/>
    </xf>
    <xf numFmtId="170" fontId="25" fillId="0" borderId="8" xfId="1" applyNumberFormat="1" applyFont="1" applyFill="1" applyBorder="1" applyAlignment="1">
      <alignment horizontal="center" vertical="center"/>
    </xf>
    <xf numFmtId="0" fontId="17" fillId="4" borderId="12" xfId="3" applyFont="1" applyFill="1" applyBorder="1" applyAlignment="1">
      <alignment horizontal="center" vertical="center"/>
    </xf>
    <xf numFmtId="170" fontId="17" fillId="4" borderId="13" xfId="3" applyNumberFormat="1" applyFont="1" applyFill="1" applyBorder="1" applyAlignment="1">
      <alignment horizontal="center" vertical="center"/>
    </xf>
    <xf numFmtId="170" fontId="20" fillId="3" borderId="13" xfId="3" applyNumberFormat="1" applyFont="1" applyFill="1" applyBorder="1" applyAlignment="1">
      <alignment horizontal="left" vertical="center"/>
    </xf>
    <xf numFmtId="0" fontId="20" fillId="13" borderId="7" xfId="10" applyFont="1" applyFill="1" applyBorder="1" applyAlignment="1">
      <alignment horizontal="center" vertical="center" wrapText="1"/>
    </xf>
    <xf numFmtId="0" fontId="17" fillId="4" borderId="13" xfId="3" applyFont="1" applyFill="1" applyBorder="1" applyAlignment="1">
      <alignment horizontal="center" vertical="center"/>
    </xf>
    <xf numFmtId="167" fontId="20" fillId="0" borderId="8" xfId="1" applyNumberFormat="1" applyFont="1" applyFill="1" applyBorder="1" applyAlignment="1">
      <alignment horizontal="distributed" vertical="center"/>
    </xf>
    <xf numFmtId="2" fontId="18" fillId="0" borderId="0" xfId="3" applyNumberFormat="1" applyAlignment="1">
      <alignment vertical="center"/>
    </xf>
    <xf numFmtId="0" fontId="0" fillId="0" borderId="43" xfId="0" applyBorder="1" applyAlignment="1">
      <alignment horizontal="center" vertical="center"/>
    </xf>
    <xf numFmtId="0" fontId="0" fillId="0" borderId="38" xfId="0" applyBorder="1" applyAlignment="1">
      <alignment vertical="center"/>
    </xf>
    <xf numFmtId="0" fontId="0" fillId="0" borderId="37" xfId="0" applyBorder="1" applyAlignment="1">
      <alignment vertical="center"/>
    </xf>
    <xf numFmtId="0" fontId="0" fillId="0" borderId="44" xfId="0" applyBorder="1" applyAlignment="1">
      <alignment vertical="center"/>
    </xf>
    <xf numFmtId="0" fontId="0" fillId="0" borderId="41" xfId="0" applyBorder="1" applyAlignment="1">
      <alignment horizontal="center" vertical="center"/>
    </xf>
    <xf numFmtId="0" fontId="0" fillId="0" borderId="62" xfId="0" applyBorder="1" applyAlignment="1">
      <alignment horizontal="center" vertical="center"/>
    </xf>
    <xf numFmtId="0" fontId="0" fillId="0" borderId="45" xfId="0" applyBorder="1" applyAlignment="1">
      <alignment horizontal="center" vertical="center"/>
    </xf>
    <xf numFmtId="0" fontId="0" fillId="2" borderId="44" xfId="0" applyFill="1" applyBorder="1" applyAlignment="1">
      <alignment vertical="center"/>
    </xf>
    <xf numFmtId="0" fontId="0" fillId="0" borderId="42" xfId="0" applyBorder="1" applyAlignment="1">
      <alignment vertical="center"/>
    </xf>
    <xf numFmtId="0" fontId="20" fillId="2" borderId="45" xfId="0" applyFont="1" applyFill="1" applyBorder="1" applyAlignment="1">
      <alignment vertical="center"/>
    </xf>
    <xf numFmtId="0" fontId="20" fillId="2" borderId="0" xfId="0" applyFont="1" applyFill="1" applyAlignment="1">
      <alignment vertical="center"/>
    </xf>
    <xf numFmtId="0" fontId="20" fillId="0" borderId="47" xfId="0" applyFont="1" applyBorder="1" applyAlignment="1">
      <alignment vertical="center"/>
    </xf>
    <xf numFmtId="0" fontId="24" fillId="0" borderId="46" xfId="0" applyFont="1" applyBorder="1" applyAlignment="1">
      <alignment vertical="center"/>
    </xf>
    <xf numFmtId="0" fontId="24" fillId="0" borderId="37" xfId="0" applyFont="1" applyBorder="1" applyAlignment="1">
      <alignment vertical="center"/>
    </xf>
    <xf numFmtId="0" fontId="24" fillId="0" borderId="47" xfId="0" applyFont="1" applyBorder="1" applyAlignment="1">
      <alignment vertical="center"/>
    </xf>
    <xf numFmtId="0" fontId="24" fillId="0" borderId="38" xfId="0" applyFont="1" applyBorder="1" applyAlignment="1">
      <alignment vertical="center"/>
    </xf>
    <xf numFmtId="0" fontId="0" fillId="0" borderId="39" xfId="0" applyBorder="1" applyAlignment="1">
      <alignment vertical="center"/>
    </xf>
    <xf numFmtId="0" fontId="24" fillId="0" borderId="45" xfId="0" applyFont="1" applyBorder="1" applyAlignment="1">
      <alignment vertical="center"/>
    </xf>
    <xf numFmtId="0" fontId="22" fillId="0" borderId="46" xfId="0" applyFont="1" applyBorder="1" applyAlignment="1">
      <alignment vertical="center"/>
    </xf>
    <xf numFmtId="0" fontId="24" fillId="0" borderId="41" xfId="0" applyFont="1" applyBorder="1" applyAlignment="1">
      <alignment vertical="center"/>
    </xf>
    <xf numFmtId="0" fontId="24" fillId="0" borderId="43" xfId="0" applyFont="1" applyBorder="1" applyAlignment="1">
      <alignment vertical="center"/>
    </xf>
    <xf numFmtId="0" fontId="0" fillId="0" borderId="40" xfId="0" applyBorder="1" applyAlignment="1">
      <alignment vertical="center"/>
    </xf>
    <xf numFmtId="0" fontId="24" fillId="0" borderId="62" xfId="0" applyFont="1" applyBorder="1" applyAlignment="1">
      <alignment vertical="center"/>
    </xf>
    <xf numFmtId="0" fontId="0" fillId="0" borderId="45" xfId="0" applyBorder="1" applyAlignment="1">
      <alignment vertical="center"/>
    </xf>
    <xf numFmtId="0" fontId="0" fillId="0" borderId="46" xfId="0" applyBorder="1" applyAlignment="1">
      <alignment vertical="center"/>
    </xf>
    <xf numFmtId="9" fontId="24" fillId="0" borderId="36" xfId="0" applyNumberFormat="1" applyFont="1" applyBorder="1" applyAlignment="1">
      <alignment vertical="center"/>
    </xf>
    <xf numFmtId="0" fontId="24" fillId="2" borderId="62" xfId="0" applyFont="1" applyFill="1" applyBorder="1" applyAlignment="1">
      <alignment vertical="center"/>
    </xf>
    <xf numFmtId="0" fontId="0" fillId="0" borderId="43" xfId="0" applyBorder="1" applyAlignment="1">
      <alignment vertical="center"/>
    </xf>
    <xf numFmtId="0" fontId="24" fillId="0" borderId="47" xfId="0" applyFont="1" applyBorder="1" applyAlignment="1">
      <alignment horizontal="left" vertical="center"/>
    </xf>
    <xf numFmtId="0" fontId="0" fillId="0" borderId="89"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2" fontId="24" fillId="0" borderId="58" xfId="0" applyNumberFormat="1" applyFont="1" applyBorder="1" applyAlignment="1">
      <alignment vertical="center"/>
    </xf>
    <xf numFmtId="2" fontId="24" fillId="0" borderId="59" xfId="0" applyNumberFormat="1" applyFont="1" applyBorder="1" applyAlignment="1">
      <alignment vertical="center"/>
    </xf>
    <xf numFmtId="2" fontId="24" fillId="0" borderId="14" xfId="0" applyNumberFormat="1" applyFont="1" applyBorder="1" applyAlignment="1">
      <alignment vertical="center"/>
    </xf>
    <xf numFmtId="2" fontId="24" fillId="0" borderId="56" xfId="0" applyNumberFormat="1" applyFont="1" applyBorder="1" applyAlignment="1">
      <alignment vertical="center"/>
    </xf>
    <xf numFmtId="0" fontId="0" fillId="0" borderId="54" xfId="0" applyBorder="1" applyAlignment="1">
      <alignment vertical="center"/>
    </xf>
    <xf numFmtId="0" fontId="20" fillId="0" borderId="44" xfId="0" applyFont="1" applyBorder="1" applyAlignment="1">
      <alignment horizontal="center" vertical="center"/>
    </xf>
    <xf numFmtId="0" fontId="20" fillId="0" borderId="41" xfId="0" applyFont="1" applyBorder="1" applyAlignment="1">
      <alignment horizontal="center" vertical="center"/>
    </xf>
    <xf numFmtId="2" fontId="20" fillId="0" borderId="41" xfId="0" applyNumberFormat="1" applyFont="1" applyBorder="1" applyAlignment="1">
      <alignment horizontal="right" vertical="center"/>
    </xf>
    <xf numFmtId="166" fontId="17" fillId="0" borderId="41" xfId="0" applyNumberFormat="1" applyFont="1" applyBorder="1" applyAlignment="1">
      <alignment horizontal="left" vertical="center"/>
    </xf>
    <xf numFmtId="0" fontId="17" fillId="0" borderId="0" xfId="0" applyFont="1" applyAlignment="1">
      <alignment vertical="center"/>
    </xf>
    <xf numFmtId="9" fontId="0" fillId="0" borderId="0" xfId="0" applyNumberFormat="1" applyAlignment="1">
      <alignment vertical="center"/>
    </xf>
    <xf numFmtId="0" fontId="0" fillId="0" borderId="48" xfId="0" applyBorder="1" applyAlignment="1">
      <alignment vertical="center"/>
    </xf>
    <xf numFmtId="0" fontId="17" fillId="0" borderId="37" xfId="0" applyFont="1" applyBorder="1" applyAlignment="1">
      <alignment horizontal="left" vertical="center"/>
    </xf>
    <xf numFmtId="0" fontId="20" fillId="0" borderId="42" xfId="0" applyFont="1" applyBorder="1" applyAlignment="1">
      <alignment vertical="center"/>
    </xf>
    <xf numFmtId="0" fontId="20" fillId="0" borderId="39" xfId="0" applyFont="1" applyBorder="1" applyAlignment="1">
      <alignment vertical="center"/>
    </xf>
    <xf numFmtId="0" fontId="17" fillId="0" borderId="39" xfId="0" applyFont="1" applyBorder="1" applyAlignment="1">
      <alignment vertical="center"/>
    </xf>
    <xf numFmtId="0" fontId="17" fillId="0" borderId="40" xfId="0" applyFont="1" applyBorder="1" applyAlignment="1">
      <alignment vertical="center"/>
    </xf>
    <xf numFmtId="0" fontId="20" fillId="0" borderId="45" xfId="0" applyFont="1" applyBorder="1" applyAlignment="1">
      <alignment horizontal="left" vertical="center"/>
    </xf>
    <xf numFmtId="0" fontId="18" fillId="11" borderId="0" xfId="3" applyFill="1" applyAlignment="1">
      <alignment vertical="center"/>
    </xf>
    <xf numFmtId="4" fontId="17" fillId="0" borderId="14" xfId="3" applyNumberFormat="1" applyFont="1" applyBorder="1" applyAlignment="1">
      <alignment horizontal="center" vertical="center"/>
    </xf>
    <xf numFmtId="0" fontId="3" fillId="0" borderId="0" xfId="176" applyFont="1"/>
    <xf numFmtId="0" fontId="0" fillId="0" borderId="45" xfId="0" applyBorder="1" applyAlignment="1">
      <alignment horizontal="left" vertical="center"/>
    </xf>
    <xf numFmtId="0" fontId="0" fillId="0" borderId="0" xfId="0" applyAlignment="1">
      <alignment horizontal="left" vertical="center"/>
    </xf>
    <xf numFmtId="0" fontId="24" fillId="0" borderId="43" xfId="0" applyFont="1" applyBorder="1" applyAlignment="1">
      <alignment horizontal="center" vertical="center"/>
    </xf>
    <xf numFmtId="0" fontId="20" fillId="0" borderId="40" xfId="0" applyFont="1" applyBorder="1" applyAlignment="1">
      <alignment horizontal="left" vertical="center"/>
    </xf>
    <xf numFmtId="2" fontId="25" fillId="0" borderId="57" xfId="0" applyNumberFormat="1" applyFont="1" applyBorder="1" applyAlignment="1">
      <alignment horizontal="right" vertical="center"/>
    </xf>
    <xf numFmtId="0" fontId="17" fillId="0" borderId="39" xfId="0" applyFont="1" applyBorder="1" applyAlignment="1">
      <alignment horizontal="left" vertical="center"/>
    </xf>
    <xf numFmtId="0" fontId="24" fillId="2" borderId="0" xfId="6" applyFont="1" applyFill="1" applyAlignment="1">
      <alignment vertical="center" wrapText="1"/>
    </xf>
    <xf numFmtId="0" fontId="24" fillId="2" borderId="16" xfId="6" applyFont="1" applyFill="1" applyBorder="1" applyAlignment="1">
      <alignment vertical="center" wrapText="1"/>
    </xf>
    <xf numFmtId="0" fontId="24" fillId="2" borderId="0" xfId="6" applyFont="1" applyFill="1" applyAlignment="1">
      <alignment vertical="center"/>
    </xf>
    <xf numFmtId="0" fontId="24" fillId="2" borderId="16" xfId="6" applyFont="1" applyFill="1" applyBorder="1" applyAlignment="1">
      <alignment vertical="center"/>
    </xf>
    <xf numFmtId="0" fontId="20" fillId="3" borderId="12" xfId="3" applyFont="1" applyFill="1" applyBorder="1" applyAlignment="1">
      <alignment vertical="center"/>
    </xf>
    <xf numFmtId="0" fontId="20" fillId="2" borderId="44" xfId="0" applyFont="1" applyFill="1" applyBorder="1" applyAlignment="1">
      <alignment vertical="center"/>
    </xf>
    <xf numFmtId="0" fontId="63" fillId="2" borderId="0" xfId="3" applyFont="1" applyFill="1" applyAlignment="1">
      <alignment horizontal="left" vertical="center"/>
    </xf>
    <xf numFmtId="0" fontId="24" fillId="0" borderId="63" xfId="0" applyFont="1" applyBorder="1" applyAlignment="1">
      <alignment horizontal="center" vertical="center"/>
    </xf>
    <xf numFmtId="0" fontId="24" fillId="2" borderId="40" xfId="0" applyFont="1" applyFill="1" applyBorder="1" applyAlignment="1">
      <alignment horizontal="center" vertical="center"/>
    </xf>
    <xf numFmtId="164" fontId="24" fillId="0" borderId="12" xfId="5" applyFont="1" applyBorder="1" applyAlignment="1">
      <alignment horizontal="center" vertical="center"/>
    </xf>
    <xf numFmtId="2" fontId="24" fillId="0" borderId="14" xfId="0" applyNumberFormat="1" applyFont="1" applyBorder="1" applyAlignment="1">
      <alignment horizontal="center" vertical="center"/>
    </xf>
    <xf numFmtId="0" fontId="20" fillId="0" borderId="39" xfId="0" applyFont="1" applyBorder="1" applyAlignment="1">
      <alignment horizontal="center" vertical="center"/>
    </xf>
    <xf numFmtId="2" fontId="25" fillId="0" borderId="57" xfId="0" applyNumberFormat="1" applyFont="1" applyBorder="1" applyAlignment="1">
      <alignment horizontal="center" vertical="center"/>
    </xf>
    <xf numFmtId="0" fontId="24" fillId="0" borderId="39" xfId="0" applyFont="1" applyBorder="1" applyAlignment="1">
      <alignment horizontal="center" vertical="center"/>
    </xf>
    <xf numFmtId="0" fontId="20" fillId="0" borderId="40" xfId="0" applyFont="1" applyBorder="1" applyAlignment="1">
      <alignment vertical="center"/>
    </xf>
    <xf numFmtId="0" fontId="24" fillId="2" borderId="42" xfId="0" applyFont="1" applyFill="1" applyBorder="1" applyAlignment="1">
      <alignment vertical="center"/>
    </xf>
    <xf numFmtId="0" fontId="24" fillId="2" borderId="39" xfId="0" applyFont="1" applyFill="1" applyBorder="1" applyAlignment="1">
      <alignment vertical="center"/>
    </xf>
    <xf numFmtId="0" fontId="24" fillId="2" borderId="40" xfId="0" applyFont="1" applyFill="1" applyBorder="1" applyAlignment="1">
      <alignment vertical="center"/>
    </xf>
    <xf numFmtId="0" fontId="20" fillId="0" borderId="46" xfId="0" applyFont="1" applyBorder="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17" fillId="0" borderId="37" xfId="0" applyFont="1" applyBorder="1" applyAlignment="1">
      <alignment vertical="center"/>
    </xf>
    <xf numFmtId="0" fontId="17" fillId="0" borderId="22" xfId="0" applyFont="1" applyBorder="1" applyAlignment="1">
      <alignment vertical="center"/>
    </xf>
    <xf numFmtId="0" fontId="24" fillId="0" borderId="97" xfId="0" applyFont="1" applyBorder="1" applyAlignment="1">
      <alignment horizontal="center" vertical="center"/>
    </xf>
    <xf numFmtId="0" fontId="17" fillId="0" borderId="23" xfId="0" applyFont="1" applyBorder="1" applyAlignment="1">
      <alignment vertical="center"/>
    </xf>
    <xf numFmtId="0" fontId="17" fillId="0" borderId="17" xfId="0" applyFont="1" applyBorder="1" applyAlignment="1">
      <alignment vertical="center"/>
    </xf>
    <xf numFmtId="0" fontId="17" fillId="0" borderId="51" xfId="0" applyFont="1" applyBorder="1" applyAlignment="1">
      <alignment vertical="center"/>
    </xf>
    <xf numFmtId="0" fontId="17" fillId="0" borderId="30" xfId="0" applyFont="1" applyBorder="1" applyAlignment="1">
      <alignment vertical="center"/>
    </xf>
    <xf numFmtId="0" fontId="24" fillId="0" borderId="72" xfId="0" applyFont="1" applyBorder="1" applyAlignment="1">
      <alignment horizontal="center" vertical="center"/>
    </xf>
    <xf numFmtId="0" fontId="17" fillId="0" borderId="98" xfId="0" applyFont="1" applyBorder="1" applyAlignment="1">
      <alignment vertical="center"/>
    </xf>
    <xf numFmtId="3" fontId="25" fillId="0" borderId="8" xfId="10" applyNumberFormat="1" applyFont="1" applyBorder="1" applyAlignment="1">
      <alignment horizontal="left" vertical="center" wrapText="1"/>
    </xf>
    <xf numFmtId="3" fontId="25" fillId="0" borderId="7" xfId="10" applyNumberFormat="1" applyFont="1" applyBorder="1" applyAlignment="1">
      <alignment horizontal="justify" vertical="center" wrapText="1"/>
    </xf>
    <xf numFmtId="0" fontId="17" fillId="0" borderId="0" xfId="0" applyFont="1" applyAlignment="1">
      <alignment vertical="center" wrapText="1"/>
    </xf>
    <xf numFmtId="2" fontId="24" fillId="0" borderId="40" xfId="0" applyNumberFormat="1"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wrapText="1"/>
    </xf>
    <xf numFmtId="0" fontId="64" fillId="0" borderId="0" xfId="0" applyFont="1" applyAlignment="1">
      <alignment horizontal="center" vertical="center" wrapText="1"/>
    </xf>
    <xf numFmtId="2" fontId="64" fillId="0" borderId="0" xfId="0" applyNumberFormat="1" applyFont="1" applyAlignment="1">
      <alignment horizontal="center" vertical="center" wrapText="1"/>
    </xf>
    <xf numFmtId="0" fontId="17" fillId="0" borderId="46" xfId="0" applyFont="1" applyBorder="1" applyAlignment="1">
      <alignment vertical="center"/>
    </xf>
    <xf numFmtId="2" fontId="24" fillId="0" borderId="36" xfId="0" applyNumberFormat="1" applyFont="1" applyBorder="1" applyAlignment="1">
      <alignment horizontal="center" vertical="center"/>
    </xf>
    <xf numFmtId="0" fontId="24" fillId="0" borderId="45" xfId="0" applyFont="1" applyBorder="1" applyAlignment="1">
      <alignment vertical="center" wrapText="1"/>
    </xf>
    <xf numFmtId="0" fontId="24" fillId="0" borderId="0" xfId="0" applyFont="1" applyAlignment="1">
      <alignment vertical="center" wrapText="1"/>
    </xf>
    <xf numFmtId="0" fontId="24" fillId="0" borderId="44" xfId="0" applyFont="1" applyBorder="1" applyAlignment="1">
      <alignment vertical="center"/>
    </xf>
    <xf numFmtId="9" fontId="0" fillId="0" borderId="0" xfId="0" applyNumberFormat="1" applyAlignment="1">
      <alignment horizontal="center" vertical="center"/>
    </xf>
    <xf numFmtId="0" fontId="17" fillId="0" borderId="0" xfId="0" applyFont="1" applyAlignment="1">
      <alignment horizontal="center" vertical="center"/>
    </xf>
    <xf numFmtId="2" fontId="0" fillId="0" borderId="0" xfId="0" applyNumberFormat="1" applyAlignment="1">
      <alignment horizontal="center" vertical="center"/>
    </xf>
    <xf numFmtId="2" fontId="24" fillId="2" borderId="12" xfId="0" applyNumberFormat="1" applyFont="1" applyFill="1" applyBorder="1" applyAlignment="1">
      <alignment horizontal="right" vertical="center"/>
    </xf>
    <xf numFmtId="0" fontId="24" fillId="2" borderId="0" xfId="0" applyFont="1" applyFill="1" applyAlignment="1">
      <alignment horizontal="left" vertical="center"/>
    </xf>
    <xf numFmtId="0" fontId="0" fillId="0" borderId="20" xfId="0" applyBorder="1" applyAlignment="1">
      <alignment vertical="center"/>
    </xf>
    <xf numFmtId="0" fontId="24" fillId="2" borderId="0" xfId="3" applyFont="1" applyFill="1" applyAlignment="1">
      <alignment vertical="center"/>
    </xf>
    <xf numFmtId="0" fontId="17" fillId="0" borderId="0" xfId="65" applyAlignment="1">
      <alignment horizontal="center"/>
    </xf>
    <xf numFmtId="0" fontId="17" fillId="0" borderId="16" xfId="65" applyBorder="1" applyAlignment="1">
      <alignment horizontal="center"/>
    </xf>
    <xf numFmtId="0" fontId="25" fillId="0" borderId="56" xfId="0" applyFont="1" applyBorder="1" applyAlignment="1">
      <alignment horizontal="center" vertical="center"/>
    </xf>
    <xf numFmtId="0" fontId="25" fillId="2" borderId="56" xfId="0" applyFont="1" applyFill="1" applyBorder="1" applyAlignment="1">
      <alignment horizontal="center" vertical="center"/>
    </xf>
    <xf numFmtId="2" fontId="25" fillId="0" borderId="12" xfId="0" applyNumberFormat="1" applyFont="1" applyBorder="1" applyAlignment="1">
      <alignment horizontal="center" vertical="center"/>
    </xf>
    <xf numFmtId="0" fontId="57" fillId="11" borderId="0" xfId="3" applyFont="1" applyFill="1" applyAlignment="1">
      <alignment horizontal="center" vertical="center"/>
    </xf>
    <xf numFmtId="0" fontId="24" fillId="0" borderId="89"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62" xfId="0" applyFont="1" applyBorder="1" applyAlignment="1">
      <alignment horizontal="center" vertical="center" wrapText="1"/>
    </xf>
    <xf numFmtId="0" fontId="17" fillId="0" borderId="0" xfId="177" applyAlignment="1">
      <alignment horizontal="left" vertical="center" wrapText="1"/>
    </xf>
    <xf numFmtId="0" fontId="17" fillId="0" borderId="0" xfId="177" applyAlignment="1">
      <alignment horizontal="center"/>
    </xf>
    <xf numFmtId="0" fontId="17" fillId="0" borderId="16" xfId="177" applyBorder="1" applyAlignment="1">
      <alignment horizontal="center"/>
    </xf>
    <xf numFmtId="0" fontId="17" fillId="0" borderId="17" xfId="177" applyBorder="1" applyAlignment="1">
      <alignment vertical="center"/>
    </xf>
    <xf numFmtId="0" fontId="17" fillId="0" borderId="30" xfId="177" applyBorder="1" applyAlignment="1">
      <alignment vertical="center"/>
    </xf>
    <xf numFmtId="0" fontId="17" fillId="0" borderId="0" xfId="65" applyAlignment="1">
      <alignment vertical="center"/>
    </xf>
    <xf numFmtId="0" fontId="57" fillId="6" borderId="12" xfId="65" applyFont="1" applyFill="1" applyBorder="1" applyAlignment="1">
      <alignment horizontal="center" vertical="center" wrapText="1"/>
    </xf>
    <xf numFmtId="0" fontId="57" fillId="0" borderId="30" xfId="65" applyFont="1" applyBorder="1"/>
    <xf numFmtId="2" fontId="57" fillId="0" borderId="32" xfId="65" applyNumberFormat="1" applyFont="1" applyBorder="1" applyAlignment="1">
      <alignment horizontal="center"/>
    </xf>
    <xf numFmtId="0" fontId="57" fillId="0" borderId="31" xfId="65" applyFont="1" applyBorder="1" applyAlignment="1">
      <alignment horizontal="center"/>
    </xf>
    <xf numFmtId="0" fontId="20" fillId="0" borderId="0" xfId="65" applyFont="1" applyAlignment="1">
      <alignment horizontal="left" vertical="center" wrapText="1"/>
    </xf>
    <xf numFmtId="0" fontId="17" fillId="0" borderId="0" xfId="10" applyAlignment="1">
      <alignment horizontal="center" vertical="center"/>
    </xf>
    <xf numFmtId="2" fontId="17" fillId="0" borderId="0" xfId="65" applyNumberFormat="1" applyAlignment="1">
      <alignment horizontal="center" vertical="center" wrapText="1"/>
    </xf>
    <xf numFmtId="2" fontId="24" fillId="0" borderId="0" xfId="0" applyNumberFormat="1" applyFont="1" applyAlignment="1">
      <alignment horizontal="center" vertical="center" wrapText="1"/>
    </xf>
    <xf numFmtId="0" fontId="67" fillId="0" borderId="0" xfId="180" applyFont="1"/>
    <xf numFmtId="0" fontId="45" fillId="13" borderId="8" xfId="42" applyFont="1" applyFill="1" applyBorder="1" applyAlignment="1">
      <alignment horizontal="center" vertical="center"/>
    </xf>
    <xf numFmtId="0" fontId="44" fillId="0" borderId="0" xfId="42" applyFont="1" applyAlignment="1">
      <alignment vertical="center"/>
    </xf>
    <xf numFmtId="0" fontId="45" fillId="13" borderId="8" xfId="42" applyFont="1" applyFill="1" applyBorder="1" applyAlignment="1">
      <alignment vertical="center"/>
    </xf>
    <xf numFmtId="0" fontId="67" fillId="0" borderId="17" xfId="180" applyFont="1" applyBorder="1"/>
    <xf numFmtId="2" fontId="68" fillId="0" borderId="0" xfId="180" applyNumberFormat="1" applyFont="1" applyAlignment="1">
      <alignment horizontal="center" vertical="center"/>
    </xf>
    <xf numFmtId="0" fontId="67" fillId="0" borderId="16" xfId="180" applyFont="1" applyBorder="1"/>
    <xf numFmtId="0" fontId="67" fillId="0" borderId="30" xfId="180" applyFont="1" applyBorder="1" applyAlignment="1">
      <alignment horizontal="center" vertical="center"/>
    </xf>
    <xf numFmtId="2" fontId="68" fillId="0" borderId="32" xfId="180" applyNumberFormat="1" applyFont="1" applyBorder="1" applyAlignment="1">
      <alignment horizontal="center" vertical="center"/>
    </xf>
    <xf numFmtId="0" fontId="67" fillId="0" borderId="31" xfId="180" applyFont="1" applyBorder="1" applyAlignment="1">
      <alignment horizontal="center" vertical="center"/>
    </xf>
    <xf numFmtId="170" fontId="65" fillId="0" borderId="0" xfId="180" applyNumberFormat="1" applyFont="1" applyAlignment="1">
      <alignment horizontal="center" vertical="center"/>
    </xf>
    <xf numFmtId="10" fontId="65" fillId="0" borderId="0" xfId="144" applyNumberFormat="1" applyFont="1" applyBorder="1" applyAlignment="1">
      <alignment horizontal="center" vertical="center"/>
    </xf>
    <xf numFmtId="0" fontId="67" fillId="0" borderId="16" xfId="180" applyFont="1" applyBorder="1" applyAlignment="1">
      <alignment horizontal="center" vertical="center"/>
    </xf>
    <xf numFmtId="0" fontId="64" fillId="0" borderId="0" xfId="180" applyFont="1" applyAlignment="1">
      <alignment horizontal="center" vertical="center"/>
    </xf>
    <xf numFmtId="2" fontId="64" fillId="0" borderId="0" xfId="180" applyNumberFormat="1" applyFont="1" applyAlignment="1">
      <alignment horizontal="center" vertical="center"/>
    </xf>
    <xf numFmtId="0" fontId="44" fillId="0" borderId="22" xfId="42" applyFont="1" applyBorder="1" applyAlignment="1">
      <alignment vertical="center"/>
    </xf>
    <xf numFmtId="0" fontId="44" fillId="0" borderId="20" xfId="42" applyFont="1" applyBorder="1" applyAlignment="1">
      <alignment vertical="center"/>
    </xf>
    <xf numFmtId="0" fontId="69" fillId="0" borderId="20" xfId="180" applyFont="1" applyBorder="1" applyAlignment="1">
      <alignment vertical="center"/>
    </xf>
    <xf numFmtId="0" fontId="44" fillId="0" borderId="23" xfId="42" applyFont="1" applyBorder="1" applyAlignment="1">
      <alignment vertical="center"/>
    </xf>
    <xf numFmtId="0" fontId="44" fillId="0" borderId="17" xfId="42" applyFont="1" applyBorder="1" applyAlignment="1">
      <alignment vertical="center"/>
    </xf>
    <xf numFmtId="0" fontId="44" fillId="0" borderId="16" xfId="42" applyFont="1" applyBorder="1" applyAlignment="1">
      <alignment vertical="center"/>
    </xf>
    <xf numFmtId="0" fontId="45" fillId="0" borderId="8" xfId="42" applyFont="1" applyBorder="1" applyAlignment="1">
      <alignment horizontal="center" vertical="center"/>
    </xf>
    <xf numFmtId="0" fontId="44" fillId="0" borderId="8" xfId="42" applyFont="1" applyBorder="1" applyAlignment="1">
      <alignment horizontal="center" vertical="center"/>
    </xf>
    <xf numFmtId="2" fontId="44" fillId="0" borderId="8" xfId="42" applyNumberFormat="1" applyFont="1" applyBorder="1" applyAlignment="1">
      <alignment horizontal="center" vertical="center"/>
    </xf>
    <xf numFmtId="0" fontId="69" fillId="0" borderId="0" xfId="180" applyFont="1" applyAlignment="1">
      <alignment vertical="center"/>
    </xf>
    <xf numFmtId="49" fontId="44" fillId="0" borderId="8" xfId="42" applyNumberFormat="1" applyFont="1" applyBorder="1" applyAlignment="1">
      <alignment horizontal="center" vertical="center"/>
    </xf>
    <xf numFmtId="0" fontId="69" fillId="0" borderId="8" xfId="180" applyFont="1" applyBorder="1" applyAlignment="1">
      <alignment horizontal="center" vertical="center"/>
    </xf>
    <xf numFmtId="0" fontId="44" fillId="0" borderId="8" xfId="42" applyFont="1" applyBorder="1" applyAlignment="1">
      <alignment horizontal="center" vertical="center" wrapText="1"/>
    </xf>
    <xf numFmtId="1" fontId="44" fillId="0" borderId="8" xfId="42" applyNumberFormat="1" applyFont="1" applyBorder="1" applyAlignment="1">
      <alignment horizontal="center" vertical="center"/>
    </xf>
    <xf numFmtId="2" fontId="44" fillId="0" borderId="0" xfId="42" applyNumberFormat="1" applyFont="1" applyAlignment="1">
      <alignment vertical="center"/>
    </xf>
    <xf numFmtId="176" fontId="44" fillId="0" borderId="0" xfId="42" applyNumberFormat="1" applyFont="1" applyAlignment="1">
      <alignment horizontal="center" vertical="center"/>
    </xf>
    <xf numFmtId="0" fontId="45" fillId="13" borderId="8" xfId="42" applyFont="1" applyFill="1" applyBorder="1" applyAlignment="1">
      <alignment horizontal="center" vertical="center" wrapText="1"/>
    </xf>
    <xf numFmtId="0" fontId="45" fillId="13" borderId="18" xfId="42" applyFont="1" applyFill="1" applyBorder="1" applyAlignment="1">
      <alignment horizontal="center" vertical="center" wrapText="1"/>
    </xf>
    <xf numFmtId="0" fontId="45" fillId="0" borderId="8" xfId="42" applyFont="1" applyBorder="1" applyAlignment="1">
      <alignment vertical="center"/>
    </xf>
    <xf numFmtId="176" fontId="44" fillId="0" borderId="8" xfId="42" applyNumberFormat="1" applyFont="1" applyBorder="1" applyAlignment="1">
      <alignment horizontal="center" vertical="center"/>
    </xf>
    <xf numFmtId="0" fontId="45" fillId="0" borderId="0" xfId="42" applyFont="1" applyAlignment="1">
      <alignment horizontal="center" vertical="center"/>
    </xf>
    <xf numFmtId="2" fontId="45" fillId="0" borderId="8" xfId="42" applyNumberFormat="1" applyFont="1" applyBorder="1" applyAlignment="1">
      <alignment horizontal="center" vertical="center"/>
    </xf>
    <xf numFmtId="2" fontId="45" fillId="0" borderId="0" xfId="42" applyNumberFormat="1" applyFont="1" applyAlignment="1">
      <alignment horizontal="center" vertical="center"/>
    </xf>
    <xf numFmtId="2" fontId="44" fillId="0" borderId="18" xfId="42" applyNumberFormat="1" applyFont="1" applyBorder="1" applyAlignment="1">
      <alignment horizontal="center" vertical="center"/>
    </xf>
    <xf numFmtId="0" fontId="44" fillId="0" borderId="30" xfId="42" applyFont="1" applyBorder="1" applyAlignment="1">
      <alignment vertical="center"/>
    </xf>
    <xf numFmtId="0" fontId="69" fillId="0" borderId="32" xfId="180" applyFont="1" applyBorder="1" applyAlignment="1">
      <alignment vertical="center"/>
    </xf>
    <xf numFmtId="0" fontId="44" fillId="0" borderId="32" xfId="42" applyFont="1" applyBorder="1" applyAlignment="1">
      <alignment vertical="center"/>
    </xf>
    <xf numFmtId="0" fontId="44" fillId="0" borderId="31" xfId="42" applyFont="1" applyBorder="1" applyAlignment="1">
      <alignment vertical="center"/>
    </xf>
    <xf numFmtId="0" fontId="45" fillId="0" borderId="8" xfId="42" applyFont="1" applyBorder="1" applyAlignment="1">
      <alignment vertical="center" wrapText="1"/>
    </xf>
    <xf numFmtId="0" fontId="20" fillId="13" borderId="8" xfId="10" applyFont="1" applyFill="1" applyBorder="1" applyAlignment="1">
      <alignment horizontal="center" vertical="center" wrapText="1"/>
    </xf>
    <xf numFmtId="0" fontId="20" fillId="13" borderId="8" xfId="10" applyFont="1" applyFill="1" applyBorder="1" applyAlignment="1">
      <alignment vertical="center" wrapText="1"/>
    </xf>
    <xf numFmtId="0" fontId="22" fillId="0" borderId="0" xfId="0" applyFont="1" applyAlignment="1">
      <alignment horizontal="left" vertical="center"/>
    </xf>
    <xf numFmtId="0" fontId="24" fillId="0" borderId="0" xfId="0" applyFont="1" applyAlignment="1">
      <alignment horizontal="center" vertical="center" wrapText="1"/>
    </xf>
    <xf numFmtId="0" fontId="70" fillId="0" borderId="0" xfId="0" applyFont="1" applyAlignment="1">
      <alignment horizontal="left" vertical="center"/>
    </xf>
    <xf numFmtId="0" fontId="22" fillId="2" borderId="0" xfId="0" applyFont="1" applyFill="1" applyAlignment="1">
      <alignment horizontal="center" vertical="center"/>
    </xf>
    <xf numFmtId="2" fontId="25" fillId="0" borderId="0" xfId="177" applyNumberFormat="1" applyFont="1" applyAlignment="1">
      <alignment horizontal="center"/>
    </xf>
    <xf numFmtId="0" fontId="71" fillId="0" borderId="0" xfId="0" applyFont="1" applyAlignment="1">
      <alignment horizontal="left" vertical="center"/>
    </xf>
    <xf numFmtId="0" fontId="24" fillId="0" borderId="45" xfId="0" applyFont="1" applyBorder="1" applyAlignment="1">
      <alignment horizontal="center" vertical="center"/>
    </xf>
    <xf numFmtId="0" fontId="17" fillId="0" borderId="0" xfId="0" applyFont="1" applyAlignment="1">
      <alignment horizontal="left" vertical="center"/>
    </xf>
    <xf numFmtId="2" fontId="25" fillId="0" borderId="0" xfId="177" applyNumberFormat="1" applyFont="1" applyAlignment="1">
      <alignment horizontal="center" vertical="center"/>
    </xf>
    <xf numFmtId="2" fontId="25" fillId="0" borderId="32" xfId="177" applyNumberFormat="1" applyFont="1" applyBorder="1" applyAlignment="1">
      <alignment horizontal="center" vertical="center"/>
    </xf>
    <xf numFmtId="2" fontId="17" fillId="0" borderId="32" xfId="177" applyNumberFormat="1" applyBorder="1" applyAlignment="1">
      <alignment horizontal="center"/>
    </xf>
    <xf numFmtId="2" fontId="17" fillId="0" borderId="31" xfId="177" applyNumberFormat="1" applyBorder="1" applyAlignment="1">
      <alignment horizontal="center"/>
    </xf>
    <xf numFmtId="0" fontId="17" fillId="0" borderId="17" xfId="177" applyBorder="1" applyAlignment="1">
      <alignment vertical="center" wrapText="1"/>
    </xf>
    <xf numFmtId="0" fontId="58" fillId="11" borderId="0" xfId="3" applyFont="1" applyFill="1" applyAlignment="1">
      <alignment vertical="center"/>
    </xf>
    <xf numFmtId="0" fontId="17" fillId="0" borderId="7" xfId="10" applyBorder="1" applyAlignment="1">
      <alignment horizontal="justify" vertical="center"/>
    </xf>
    <xf numFmtId="0" fontId="24" fillId="0" borderId="0" xfId="10" applyFont="1" applyAlignment="1">
      <alignment horizontal="left" vertical="center" wrapText="1"/>
    </xf>
    <xf numFmtId="0" fontId="26" fillId="3" borderId="12" xfId="3" applyFont="1" applyFill="1" applyBorder="1" applyAlignment="1">
      <alignment vertical="center" wrapText="1"/>
    </xf>
    <xf numFmtId="0" fontId="26" fillId="3" borderId="14" xfId="3" applyFont="1" applyFill="1" applyBorder="1" applyAlignment="1">
      <alignment vertical="center"/>
    </xf>
    <xf numFmtId="0" fontId="24" fillId="0" borderId="53" xfId="0" applyFont="1" applyBorder="1" applyAlignment="1">
      <alignment vertical="center" wrapText="1"/>
    </xf>
    <xf numFmtId="0" fontId="72" fillId="0" borderId="0" xfId="0" applyFont="1" applyAlignment="1">
      <alignment vertical="center"/>
    </xf>
    <xf numFmtId="0" fontId="20" fillId="0" borderId="46" xfId="0" applyFont="1" applyBorder="1" applyAlignment="1">
      <alignment horizontal="left" vertical="center"/>
    </xf>
    <xf numFmtId="0" fontId="22" fillId="0" borderId="36" xfId="0" applyFont="1" applyBorder="1" applyAlignment="1">
      <alignment horizontal="center" vertical="center"/>
    </xf>
    <xf numFmtId="0" fontId="26" fillId="0" borderId="0" xfId="65" applyFont="1"/>
    <xf numFmtId="0" fontId="67" fillId="0" borderId="0" xfId="180" applyFont="1" applyAlignment="1">
      <alignment horizontal="center" vertical="center"/>
    </xf>
    <xf numFmtId="10" fontId="27" fillId="0" borderId="0" xfId="36" applyNumberFormat="1" applyFont="1" applyBorder="1" applyAlignment="1">
      <alignment vertical="center" wrapText="1"/>
    </xf>
    <xf numFmtId="0" fontId="67" fillId="0" borderId="0" xfId="180" applyFont="1" applyAlignment="1">
      <alignment vertical="center"/>
    </xf>
    <xf numFmtId="0" fontId="24" fillId="0" borderId="0" xfId="10" applyFont="1" applyAlignment="1">
      <alignment vertical="center" wrapText="1"/>
    </xf>
    <xf numFmtId="0" fontId="25" fillId="0" borderId="0" xfId="0" applyFont="1" applyAlignment="1">
      <alignment horizontal="center" vertical="center"/>
    </xf>
    <xf numFmtId="0" fontId="17" fillId="0" borderId="12" xfId="3" applyFont="1" applyBorder="1" applyAlignment="1">
      <alignment horizontal="center" vertical="center"/>
    </xf>
    <xf numFmtId="0" fontId="59" fillId="13" borderId="18" xfId="42" applyFont="1" applyFill="1" applyBorder="1" applyAlignment="1">
      <alignment horizontal="center" vertical="center" wrapText="1"/>
    </xf>
    <xf numFmtId="0" fontId="59" fillId="13" borderId="8" xfId="42" applyFont="1" applyFill="1" applyBorder="1" applyAlignment="1">
      <alignment horizontal="center" vertical="center"/>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7" fillId="0" borderId="0" xfId="0" applyFont="1" applyAlignment="1">
      <alignment vertical="center"/>
    </xf>
    <xf numFmtId="0" fontId="0" fillId="0" borderId="0" xfId="0" applyAlignment="1">
      <alignment horizontal="right" vertical="center"/>
    </xf>
    <xf numFmtId="0" fontId="17" fillId="0" borderId="0" xfId="10" applyAlignment="1">
      <alignment horizontal="justify" vertical="center" wrapText="1"/>
    </xf>
    <xf numFmtId="1" fontId="17" fillId="0" borderId="0" xfId="10" applyNumberFormat="1" applyAlignment="1">
      <alignment horizontal="center" vertical="center"/>
    </xf>
    <xf numFmtId="167" fontId="25" fillId="0" borderId="0" xfId="1" applyNumberFormat="1" applyFont="1" applyFill="1" applyBorder="1" applyAlignment="1">
      <alignment horizontal="distributed" vertical="center"/>
    </xf>
    <xf numFmtId="3" fontId="25" fillId="0" borderId="7" xfId="10" applyNumberFormat="1" applyFont="1" applyBorder="1" applyAlignment="1">
      <alignment horizontal="center" vertical="center"/>
    </xf>
    <xf numFmtId="2" fontId="24" fillId="0" borderId="57" xfId="0" applyNumberFormat="1" applyFont="1" applyBorder="1" applyAlignment="1">
      <alignment horizontal="center" vertical="center"/>
    </xf>
    <xf numFmtId="0" fontId="25" fillId="0" borderId="8" xfId="3" applyFont="1" applyBorder="1" applyAlignment="1">
      <alignment horizontal="center" vertical="center"/>
    </xf>
    <xf numFmtId="0" fontId="63" fillId="0" borderId="0" xfId="0" applyFont="1" applyAlignment="1">
      <alignment horizontal="left" vertical="center"/>
    </xf>
    <xf numFmtId="0" fontId="63" fillId="2" borderId="41" xfId="0" applyFont="1" applyFill="1" applyBorder="1" applyAlignment="1">
      <alignment horizontal="center" vertical="center"/>
    </xf>
    <xf numFmtId="0" fontId="63" fillId="0" borderId="46" xfId="0" applyFont="1" applyBorder="1" applyAlignment="1">
      <alignment horizontal="left" vertical="center"/>
    </xf>
    <xf numFmtId="0" fontId="20" fillId="3" borderId="8" xfId="3" applyFont="1" applyFill="1" applyBorder="1" applyAlignment="1">
      <alignment horizontal="center" vertical="center" wrapText="1"/>
    </xf>
    <xf numFmtId="0" fontId="63" fillId="2" borderId="45" xfId="0" applyFont="1" applyFill="1" applyBorder="1" applyAlignment="1">
      <alignment vertical="center"/>
    </xf>
    <xf numFmtId="0" fontId="63" fillId="0" borderId="42" xfId="0" applyFont="1" applyBorder="1" applyAlignment="1">
      <alignment horizontal="left" vertical="center"/>
    </xf>
    <xf numFmtId="0" fontId="63" fillId="2" borderId="45" xfId="0" applyFont="1" applyFill="1" applyBorder="1" applyAlignment="1">
      <alignment horizontal="center" vertical="center"/>
    </xf>
    <xf numFmtId="0" fontId="63" fillId="0" borderId="39" xfId="0" applyFont="1" applyBorder="1" applyAlignment="1">
      <alignment horizontal="left" vertical="center"/>
    </xf>
    <xf numFmtId="0" fontId="63" fillId="2" borderId="0" xfId="0" applyFont="1" applyFill="1" applyAlignment="1">
      <alignment horizontal="center" vertical="center"/>
    </xf>
    <xf numFmtId="0" fontId="63" fillId="2" borderId="0" xfId="0" applyFont="1" applyFill="1" applyAlignment="1">
      <alignment vertical="center"/>
    </xf>
    <xf numFmtId="0" fontId="75" fillId="2" borderId="0" xfId="3" applyFont="1" applyFill="1" applyAlignment="1">
      <alignment horizontal="left" vertical="center"/>
    </xf>
    <xf numFmtId="0" fontId="63" fillId="0" borderId="0" xfId="0" applyFont="1" applyAlignment="1">
      <alignment horizontal="center" vertical="center"/>
    </xf>
    <xf numFmtId="0" fontId="63" fillId="0" borderId="45" xfId="0" applyFont="1" applyBorder="1" applyAlignment="1">
      <alignment vertical="center"/>
    </xf>
    <xf numFmtId="0" fontId="76" fillId="0" borderId="0" xfId="183" applyFont="1" applyAlignment="1">
      <alignment vertical="center"/>
    </xf>
    <xf numFmtId="0" fontId="76" fillId="0" borderId="0" xfId="183" applyFont="1" applyAlignment="1">
      <alignment horizontal="center" vertical="center"/>
    </xf>
    <xf numFmtId="0" fontId="76" fillId="0" borderId="30" xfId="183" applyFont="1" applyBorder="1" applyAlignment="1">
      <alignment vertical="center"/>
    </xf>
    <xf numFmtId="2" fontId="76" fillId="0" borderId="32" xfId="183" applyNumberFormat="1" applyFont="1" applyBorder="1" applyAlignment="1">
      <alignment horizontal="center" vertical="center"/>
    </xf>
    <xf numFmtId="0" fontId="76" fillId="0" borderId="32" xfId="183" applyFont="1" applyBorder="1" applyAlignment="1">
      <alignment horizontal="center" vertical="center"/>
    </xf>
    <xf numFmtId="168" fontId="76" fillId="0" borderId="32" xfId="183" applyNumberFormat="1" applyFont="1" applyBorder="1" applyAlignment="1">
      <alignment horizontal="center" vertical="center"/>
    </xf>
    <xf numFmtId="0" fontId="77" fillId="0" borderId="0" xfId="183" applyFont="1" applyAlignment="1">
      <alignment vertical="center"/>
    </xf>
    <xf numFmtId="0" fontId="76" fillId="0" borderId="13" xfId="183" applyFont="1" applyBorder="1" applyAlignment="1">
      <alignment vertical="center"/>
    </xf>
    <xf numFmtId="0" fontId="76" fillId="0" borderId="30" xfId="183" applyFont="1" applyBorder="1" applyAlignment="1">
      <alignment vertical="center" wrapText="1"/>
    </xf>
    <xf numFmtId="168" fontId="76" fillId="0" borderId="31" xfId="183" applyNumberFormat="1" applyFont="1" applyBorder="1" applyAlignment="1">
      <alignment vertical="center"/>
    </xf>
    <xf numFmtId="168" fontId="78" fillId="0" borderId="31" xfId="183" applyNumberFormat="1" applyFont="1" applyBorder="1" applyAlignment="1">
      <alignment vertical="center"/>
    </xf>
    <xf numFmtId="0" fontId="77" fillId="0" borderId="30" xfId="183" applyFont="1" applyBorder="1" applyAlignment="1">
      <alignment horizontal="center" vertical="center"/>
    </xf>
    <xf numFmtId="168" fontId="77" fillId="0" borderId="14" xfId="183" applyNumberFormat="1" applyFont="1" applyBorder="1" applyAlignment="1">
      <alignment vertical="center"/>
    </xf>
    <xf numFmtId="0" fontId="2" fillId="0" borderId="0" xfId="184" applyAlignment="1">
      <alignment vertical="center"/>
    </xf>
    <xf numFmtId="0" fontId="54" fillId="13" borderId="6" xfId="184" applyFont="1" applyFill="1" applyBorder="1" applyAlignment="1">
      <alignment horizontal="center" vertical="center" wrapText="1"/>
    </xf>
    <xf numFmtId="0" fontId="54" fillId="13" borderId="7" xfId="184" applyFont="1" applyFill="1" applyBorder="1" applyAlignment="1">
      <alignment horizontal="center" vertical="center" wrapText="1"/>
    </xf>
    <xf numFmtId="0" fontId="54" fillId="13" borderId="30" xfId="184" applyFont="1" applyFill="1" applyBorder="1" applyAlignment="1">
      <alignment horizontal="center" vertical="center" wrapText="1"/>
    </xf>
    <xf numFmtId="0" fontId="55" fillId="0" borderId="10" xfId="184" applyFont="1" applyBorder="1" applyAlignment="1">
      <alignment horizontal="center" vertical="center"/>
    </xf>
    <xf numFmtId="0" fontId="55" fillId="0" borderId="8" xfId="184" applyFont="1" applyBorder="1" applyAlignment="1">
      <alignment horizontal="left" vertical="center" wrapText="1"/>
    </xf>
    <xf numFmtId="0" fontId="55" fillId="0" borderId="8" xfId="184" applyFont="1" applyBorder="1" applyAlignment="1">
      <alignment horizontal="center" vertical="center"/>
    </xf>
    <xf numFmtId="2" fontId="55" fillId="0" borderId="8" xfId="184" applyNumberFormat="1" applyFont="1" applyBorder="1" applyAlignment="1">
      <alignment horizontal="center" vertical="center"/>
    </xf>
    <xf numFmtId="170" fontId="55" fillId="0" borderId="8" xfId="184" applyNumberFormat="1" applyFont="1" applyBorder="1" applyAlignment="1">
      <alignment horizontal="center" vertical="center"/>
    </xf>
    <xf numFmtId="168" fontId="55" fillId="0" borderId="8" xfId="184" applyNumberFormat="1" applyFont="1" applyBorder="1" applyAlignment="1">
      <alignment horizontal="center" vertical="center"/>
    </xf>
    <xf numFmtId="168" fontId="55" fillId="0" borderId="12" xfId="184" applyNumberFormat="1" applyFont="1" applyBorder="1" applyAlignment="1">
      <alignment horizontal="center" vertical="center"/>
    </xf>
    <xf numFmtId="2" fontId="50" fillId="0" borderId="8" xfId="184" applyNumberFormat="1" applyFont="1" applyBorder="1" applyAlignment="1">
      <alignment horizontal="center" vertical="center"/>
    </xf>
    <xf numFmtId="0" fontId="49" fillId="0" borderId="8" xfId="184" applyFont="1" applyBorder="1" applyAlignment="1">
      <alignment horizontal="center" vertical="center"/>
    </xf>
    <xf numFmtId="168" fontId="55" fillId="0" borderId="9" xfId="184" applyNumberFormat="1" applyFont="1" applyBorder="1" applyAlignment="1">
      <alignment horizontal="center" vertical="center"/>
    </xf>
    <xf numFmtId="2" fontId="50" fillId="0" borderId="0" xfId="184" applyNumberFormat="1" applyFont="1" applyAlignment="1">
      <alignment horizontal="center" vertical="center"/>
    </xf>
    <xf numFmtId="0" fontId="49" fillId="0" borderId="0" xfId="184" applyFont="1" applyAlignment="1">
      <alignment horizontal="center" vertical="center"/>
    </xf>
    <xf numFmtId="0" fontId="55" fillId="0" borderId="26" xfId="184" applyFont="1" applyBorder="1" applyAlignment="1">
      <alignment horizontal="center" vertical="center"/>
    </xf>
    <xf numFmtId="0" fontId="55" fillId="0" borderId="18" xfId="184" applyFont="1" applyBorder="1" applyAlignment="1">
      <alignment vertical="center" wrapText="1"/>
    </xf>
    <xf numFmtId="0" fontId="55" fillId="0" borderId="18" xfId="184" applyFont="1" applyBorder="1" applyAlignment="1">
      <alignment horizontal="center" vertical="center"/>
    </xf>
    <xf numFmtId="2" fontId="55" fillId="0" borderId="18" xfId="184" applyNumberFormat="1" applyFont="1" applyBorder="1" applyAlignment="1">
      <alignment horizontal="center" vertical="center"/>
    </xf>
    <xf numFmtId="170" fontId="55" fillId="0" borderId="18" xfId="184" applyNumberFormat="1" applyFont="1" applyBorder="1" applyAlignment="1">
      <alignment horizontal="center" vertical="center"/>
    </xf>
    <xf numFmtId="170" fontId="55" fillId="0" borderId="27" xfId="184" applyNumberFormat="1" applyFont="1" applyBorder="1" applyAlignment="1">
      <alignment horizontal="center" vertical="center"/>
    </xf>
    <xf numFmtId="168" fontId="54" fillId="0" borderId="11" xfId="184" applyNumberFormat="1" applyFont="1" applyBorder="1" applyAlignment="1">
      <alignment vertical="center"/>
    </xf>
    <xf numFmtId="170" fontId="2" fillId="0" borderId="0" xfId="184" applyNumberFormat="1" applyAlignment="1">
      <alignment vertical="center"/>
    </xf>
    <xf numFmtId="0" fontId="60" fillId="0" borderId="28" xfId="42" applyFont="1" applyBorder="1" applyAlignment="1">
      <alignment vertical="center"/>
    </xf>
    <xf numFmtId="0" fontId="60" fillId="0" borderId="1" xfId="42" applyFont="1" applyBorder="1" applyAlignment="1">
      <alignment vertical="center"/>
    </xf>
    <xf numFmtId="0" fontId="59" fillId="0" borderId="10" xfId="42" applyFont="1" applyBorder="1" applyAlignment="1">
      <alignment horizontal="center" vertical="center"/>
    </xf>
    <xf numFmtId="0" fontId="61" fillId="0" borderId="10" xfId="42" applyFont="1" applyBorder="1" applyAlignment="1">
      <alignment horizontal="center" vertical="center"/>
    </xf>
    <xf numFmtId="0" fontId="55" fillId="0" borderId="0" xfId="184" applyFont="1" applyAlignment="1">
      <alignment vertical="center"/>
    </xf>
    <xf numFmtId="0" fontId="55" fillId="0" borderId="9" xfId="184" applyFont="1" applyBorder="1" applyAlignment="1">
      <alignment horizontal="center" vertical="center"/>
    </xf>
    <xf numFmtId="0" fontId="20" fillId="13" borderId="10" xfId="42" applyFont="1" applyFill="1" applyBorder="1" applyAlignment="1">
      <alignment horizontal="center" vertical="center"/>
    </xf>
    <xf numFmtId="0" fontId="55" fillId="0" borderId="2" xfId="184" applyFont="1" applyBorder="1" applyAlignment="1">
      <alignment vertical="center"/>
    </xf>
    <xf numFmtId="0" fontId="59" fillId="13" borderId="10" xfId="42" applyFont="1" applyFill="1" applyBorder="1" applyAlignment="1">
      <alignment horizontal="center" vertical="center" wrapText="1"/>
    </xf>
    <xf numFmtId="0" fontId="59" fillId="13" borderId="9" xfId="42" applyFont="1" applyFill="1" applyBorder="1" applyAlignment="1">
      <alignment horizontal="center" vertical="center"/>
    </xf>
    <xf numFmtId="0" fontId="59" fillId="0" borderId="10" xfId="42" applyFont="1" applyBorder="1" applyAlignment="1">
      <alignment vertical="center"/>
    </xf>
    <xf numFmtId="2" fontId="61" fillId="0" borderId="9" xfId="42" applyNumberFormat="1" applyFont="1" applyBorder="1" applyAlignment="1">
      <alignment horizontal="center" vertical="center"/>
    </xf>
    <xf numFmtId="0" fontId="61" fillId="0" borderId="1" xfId="42" applyFont="1" applyBorder="1" applyAlignment="1">
      <alignment vertical="center"/>
    </xf>
    <xf numFmtId="0" fontId="61" fillId="0" borderId="3" xfId="42" applyFont="1" applyBorder="1" applyAlignment="1">
      <alignment vertical="center"/>
    </xf>
    <xf numFmtId="0" fontId="55" fillId="0" borderId="4" xfId="184" applyFont="1" applyBorder="1" applyAlignment="1">
      <alignment vertical="center"/>
    </xf>
    <xf numFmtId="2" fontId="59" fillId="0" borderId="19" xfId="42" applyNumberFormat="1" applyFont="1" applyBorder="1" applyAlignment="1">
      <alignment horizontal="center" vertical="center"/>
    </xf>
    <xf numFmtId="0" fontId="17" fillId="0" borderId="45" xfId="0" applyFont="1" applyBorder="1" applyAlignment="1">
      <alignment horizontal="left" vertical="center"/>
    </xf>
    <xf numFmtId="0" fontId="0" fillId="0" borderId="32" xfId="0" applyBorder="1" applyAlignment="1">
      <alignment vertical="center"/>
    </xf>
    <xf numFmtId="0" fontId="55" fillId="0" borderId="32" xfId="90" applyFont="1" applyBorder="1" applyAlignment="1">
      <alignment horizontal="left" vertical="center"/>
    </xf>
    <xf numFmtId="0" fontId="17" fillId="0" borderId="14" xfId="3" applyFont="1" applyBorder="1" applyAlignment="1">
      <alignment vertical="center"/>
    </xf>
    <xf numFmtId="0" fontId="83" fillId="2" borderId="45" xfId="0" applyFont="1" applyFill="1" applyBorder="1" applyAlignment="1">
      <alignment vertical="center"/>
    </xf>
    <xf numFmtId="0" fontId="58" fillId="2" borderId="44" xfId="0" applyFont="1" applyFill="1" applyBorder="1" applyAlignment="1">
      <alignment vertical="center"/>
    </xf>
    <xf numFmtId="0" fontId="57" fillId="2" borderId="45" xfId="0" applyFont="1" applyFill="1" applyBorder="1" applyAlignment="1">
      <alignment horizontal="center" vertical="center"/>
    </xf>
    <xf numFmtId="0" fontId="57" fillId="0" borderId="42" xfId="0" applyFont="1" applyBorder="1" applyAlignment="1">
      <alignment horizontal="left" vertical="center"/>
    </xf>
    <xf numFmtId="0" fontId="72" fillId="0" borderId="0" xfId="0" applyFont="1" applyAlignment="1">
      <alignment horizontal="left" vertical="center"/>
    </xf>
    <xf numFmtId="0" fontId="72" fillId="0" borderId="0" xfId="0" applyFont="1" applyAlignment="1">
      <alignment horizontal="left" vertical="center" wrapText="1"/>
    </xf>
    <xf numFmtId="4" fontId="72" fillId="0" borderId="0" xfId="0" applyNumberFormat="1" applyFont="1" applyAlignment="1">
      <alignment horizontal="center" vertical="center"/>
    </xf>
    <xf numFmtId="0" fontId="72" fillId="0" borderId="0" xfId="0" applyFont="1" applyAlignment="1">
      <alignment horizontal="center" vertical="center"/>
    </xf>
    <xf numFmtId="0" fontId="57" fillId="2" borderId="43" xfId="0" applyFont="1" applyFill="1" applyBorder="1" applyAlignment="1">
      <alignment horizontal="left" vertical="center"/>
    </xf>
    <xf numFmtId="0" fontId="57" fillId="2" borderId="0" xfId="0" applyFont="1" applyFill="1" applyAlignment="1">
      <alignment horizontal="left" vertical="center"/>
    </xf>
    <xf numFmtId="0" fontId="58" fillId="0" borderId="42" xfId="0" applyFont="1" applyBorder="1" applyAlignment="1">
      <alignment vertical="center"/>
    </xf>
    <xf numFmtId="0" fontId="58" fillId="0" borderId="0" xfId="0" applyFont="1" applyAlignment="1">
      <alignment vertical="center"/>
    </xf>
    <xf numFmtId="0" fontId="83" fillId="0" borderId="42" xfId="0" applyFont="1" applyBorder="1" applyAlignment="1">
      <alignment horizontal="left" vertical="center"/>
    </xf>
    <xf numFmtId="0" fontId="30" fillId="0" borderId="17" xfId="7" applyFont="1" applyFill="1" applyBorder="1" applyAlignment="1">
      <alignment horizontal="center" vertical="center"/>
    </xf>
    <xf numFmtId="10" fontId="30" fillId="0" borderId="15" xfId="7" applyNumberFormat="1" applyFont="1" applyFill="1" applyBorder="1" applyAlignment="1">
      <alignment horizontal="center" vertical="center"/>
    </xf>
    <xf numFmtId="0" fontId="30" fillId="0" borderId="17" xfId="7" applyFont="1" applyFill="1" applyBorder="1" applyAlignment="1">
      <alignment horizontal="center" vertical="center" wrapText="1"/>
    </xf>
    <xf numFmtId="10" fontId="30" fillId="0" borderId="15" xfId="7" applyNumberFormat="1" applyFont="1" applyFill="1" applyBorder="1" applyAlignment="1">
      <alignment horizontal="center" vertical="center" wrapText="1"/>
    </xf>
    <xf numFmtId="10" fontId="34" fillId="0" borderId="15" xfId="7" applyNumberFormat="1" applyFont="1" applyFill="1" applyBorder="1" applyAlignment="1">
      <alignment horizontal="center" vertical="center"/>
    </xf>
    <xf numFmtId="10" fontId="34" fillId="0" borderId="7" xfId="7" applyNumberFormat="1" applyFont="1" applyFill="1" applyBorder="1" applyAlignment="1">
      <alignment vertical="center"/>
    </xf>
    <xf numFmtId="0" fontId="83" fillId="2" borderId="41" xfId="0" applyFont="1" applyFill="1" applyBorder="1" applyAlignment="1">
      <alignment horizontal="center" vertical="center"/>
    </xf>
    <xf numFmtId="0" fontId="20" fillId="0" borderId="44" xfId="0" applyFont="1" applyBorder="1" applyAlignment="1">
      <alignment vertical="center" wrapText="1"/>
    </xf>
    <xf numFmtId="0" fontId="20" fillId="0" borderId="45" xfId="0" applyFont="1" applyBorder="1" applyAlignment="1">
      <alignment horizontal="center" vertical="center" wrapText="1"/>
    </xf>
    <xf numFmtId="0" fontId="20" fillId="0" borderId="0" xfId="0" applyFont="1" applyAlignment="1">
      <alignment horizontal="center" vertical="center" wrapText="1"/>
    </xf>
    <xf numFmtId="49" fontId="17" fillId="0" borderId="0" xfId="0" applyNumberFormat="1" applyFont="1" applyAlignment="1">
      <alignment horizontal="center" vertical="center"/>
    </xf>
    <xf numFmtId="49" fontId="0" fillId="0" borderId="0" xfId="0" applyNumberFormat="1" applyAlignment="1">
      <alignment horizontal="center" vertical="center"/>
    </xf>
    <xf numFmtId="49" fontId="18" fillId="0" borderId="0" xfId="0" applyNumberFormat="1" applyFont="1" applyAlignment="1">
      <alignment horizontal="center" vertical="center"/>
    </xf>
    <xf numFmtId="49" fontId="18" fillId="0" borderId="37" xfId="0" applyNumberFormat="1" applyFont="1" applyBorder="1" applyAlignment="1">
      <alignment horizontal="center" vertical="center"/>
    </xf>
    <xf numFmtId="0" fontId="17" fillId="0" borderId="45" xfId="0" applyFont="1" applyBorder="1" applyAlignment="1">
      <alignment horizontal="center" vertical="center"/>
    </xf>
    <xf numFmtId="0" fontId="0" fillId="0" borderId="62" xfId="0" applyBorder="1" applyAlignment="1">
      <alignmen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4" fontId="24" fillId="0" borderId="113" xfId="0" applyNumberFormat="1" applyFont="1" applyBorder="1" applyAlignment="1">
      <alignment horizontal="center" vertical="center"/>
    </xf>
    <xf numFmtId="0" fontId="25" fillId="0" borderId="44" xfId="0" applyFont="1" applyBorder="1" applyAlignment="1">
      <alignment vertical="center"/>
    </xf>
    <xf numFmtId="2" fontId="25" fillId="0" borderId="113" xfId="0" applyNumberFormat="1" applyFont="1" applyBorder="1" applyAlignment="1">
      <alignment horizontal="center" vertical="center"/>
    </xf>
    <xf numFmtId="0" fontId="25" fillId="0" borderId="0" xfId="0" applyFont="1" applyAlignment="1">
      <alignment horizontal="left" vertical="center" wrapText="1"/>
    </xf>
    <xf numFmtId="0" fontId="17" fillId="0" borderId="43" xfId="0" applyFont="1" applyBorder="1" applyAlignment="1">
      <alignment horizontal="left" vertical="center"/>
    </xf>
    <xf numFmtId="0" fontId="20" fillId="0" borderId="43" xfId="0" applyFont="1" applyBorder="1" applyAlignment="1">
      <alignment horizontal="left" vertical="center"/>
    </xf>
    <xf numFmtId="0" fontId="26" fillId="0" borderId="0" xfId="0" applyFont="1" applyAlignment="1">
      <alignment horizontal="left" vertical="center"/>
    </xf>
    <xf numFmtId="0" fontId="20" fillId="13" borderId="45" xfId="0" applyFont="1" applyFill="1" applyBorder="1" applyAlignment="1">
      <alignment horizontal="center" vertical="center"/>
    </xf>
    <xf numFmtId="0" fontId="25" fillId="0" borderId="46" xfId="0" applyFont="1" applyBorder="1" applyAlignment="1">
      <alignment horizontal="left" vertical="center"/>
    </xf>
    <xf numFmtId="0" fontId="20" fillId="0" borderId="62" xfId="0" applyFont="1" applyBorder="1" applyAlignment="1">
      <alignment horizontal="left" vertical="center"/>
    </xf>
    <xf numFmtId="0" fontId="25" fillId="0" borderId="37" xfId="0" applyFont="1" applyBorder="1" applyAlignment="1">
      <alignment horizontal="left" vertical="center"/>
    </xf>
    <xf numFmtId="0" fontId="20" fillId="0" borderId="74" xfId="0" applyFont="1" applyBorder="1" applyAlignment="1">
      <alignment vertical="center"/>
    </xf>
    <xf numFmtId="0" fontId="20" fillId="0" borderId="118" xfId="0" applyFont="1" applyBorder="1" applyAlignment="1">
      <alignment vertical="center"/>
    </xf>
    <xf numFmtId="49" fontId="18" fillId="0" borderId="71" xfId="0" applyNumberFormat="1" applyFont="1" applyBorder="1" applyAlignment="1">
      <alignment vertical="center"/>
    </xf>
    <xf numFmtId="49" fontId="18" fillId="0" borderId="83" xfId="0" applyNumberFormat="1" applyFont="1" applyBorder="1" applyAlignment="1">
      <alignment vertical="center"/>
    </xf>
    <xf numFmtId="49" fontId="18" fillId="0" borderId="77" xfId="0" applyNumberFormat="1" applyFont="1" applyBorder="1" applyAlignment="1">
      <alignment vertical="center"/>
    </xf>
    <xf numFmtId="49" fontId="18" fillId="0" borderId="78" xfId="0" applyNumberFormat="1" applyFont="1" applyBorder="1" applyAlignment="1">
      <alignment vertical="center"/>
    </xf>
    <xf numFmtId="0" fontId="18" fillId="0" borderId="120" xfId="0" applyFont="1" applyBorder="1" applyAlignment="1">
      <alignment vertical="center"/>
    </xf>
    <xf numFmtId="0" fontId="18" fillId="0" borderId="121" xfId="0" applyFont="1" applyBorder="1" applyAlignment="1">
      <alignment vertical="center"/>
    </xf>
    <xf numFmtId="0" fontId="109" fillId="0" borderId="0" xfId="90" applyFont="1" applyAlignment="1">
      <alignment horizontal="left" vertical="center"/>
    </xf>
    <xf numFmtId="0" fontId="109" fillId="0" borderId="8" xfId="186" applyFont="1" applyBorder="1" applyAlignment="1">
      <alignment horizontal="center" vertical="center"/>
    </xf>
    <xf numFmtId="2" fontId="109" fillId="0" borderId="8" xfId="186" applyNumberFormat="1" applyFont="1" applyBorder="1" applyAlignment="1">
      <alignment horizontal="center" vertical="center"/>
    </xf>
    <xf numFmtId="0" fontId="20" fillId="0" borderId="0" xfId="7" applyFont="1"/>
    <xf numFmtId="0" fontId="112" fillId="0" borderId="0" xfId="90" applyFont="1" applyAlignment="1">
      <alignment horizontal="left" vertical="center"/>
    </xf>
    <xf numFmtId="10" fontId="114" fillId="8" borderId="15" xfId="7" applyNumberFormat="1" applyFont="1" applyFill="1" applyBorder="1" applyAlignment="1">
      <alignment horizontal="center" vertical="center" wrapText="1"/>
    </xf>
    <xf numFmtId="4" fontId="34" fillId="7" borderId="112" xfId="7" applyNumberFormat="1" applyFont="1" applyFill="1" applyBorder="1" applyAlignment="1">
      <alignment horizontal="center" vertical="center"/>
    </xf>
    <xf numFmtId="4" fontId="34" fillId="7" borderId="113" xfId="7" applyNumberFormat="1" applyFont="1" applyFill="1" applyBorder="1" applyAlignment="1">
      <alignment horizontal="center" vertical="center"/>
    </xf>
    <xf numFmtId="0" fontId="30" fillId="7" borderId="113" xfId="7" applyFont="1" applyFill="1" applyBorder="1" applyAlignment="1">
      <alignment horizontal="center" vertical="center"/>
    </xf>
    <xf numFmtId="10" fontId="30" fillId="8" borderId="114" xfId="7" applyNumberFormat="1" applyFont="1" applyFill="1" applyBorder="1" applyAlignment="1">
      <alignment horizontal="center" vertical="center"/>
    </xf>
    <xf numFmtId="10" fontId="30" fillId="0" borderId="114" xfId="7" applyNumberFormat="1" applyFont="1" applyFill="1" applyBorder="1" applyAlignment="1">
      <alignment horizontal="center" vertical="center"/>
    </xf>
    <xf numFmtId="0" fontId="30" fillId="0" borderId="112" xfId="7" applyFont="1" applyBorder="1"/>
    <xf numFmtId="10" fontId="30" fillId="0" borderId="113" xfId="7" applyNumberFormat="1" applyFont="1" applyBorder="1" applyAlignment="1" applyProtection="1">
      <alignment horizontal="center"/>
    </xf>
    <xf numFmtId="0" fontId="30" fillId="7" borderId="113" xfId="7" applyFont="1" applyFill="1" applyBorder="1"/>
    <xf numFmtId="10" fontId="30" fillId="7" borderId="113" xfId="7" applyNumberFormat="1" applyFont="1" applyFill="1" applyBorder="1" applyAlignment="1" applyProtection="1">
      <alignment horizontal="center"/>
    </xf>
    <xf numFmtId="0" fontId="30" fillId="0" borderId="113" xfId="7" applyFont="1" applyBorder="1"/>
    <xf numFmtId="0" fontId="30" fillId="0" borderId="0" xfId="7" applyFont="1" applyBorder="1" applyAlignment="1">
      <alignment wrapText="1"/>
    </xf>
    <xf numFmtId="10" fontId="34" fillId="7" borderId="114" xfId="7" applyNumberFormat="1" applyFont="1" applyFill="1" applyBorder="1" applyAlignment="1">
      <alignment vertical="center"/>
    </xf>
    <xf numFmtId="10" fontId="34" fillId="0" borderId="114" xfId="7" applyNumberFormat="1" applyFont="1" applyFill="1" applyBorder="1" applyAlignment="1">
      <alignment vertical="center"/>
    </xf>
    <xf numFmtId="10" fontId="30" fillId="5" borderId="114" xfId="11" applyNumberFormat="1" applyFont="1" applyFill="1" applyBorder="1" applyAlignment="1">
      <alignment horizontal="center" vertical="center"/>
    </xf>
    <xf numFmtId="10" fontId="34" fillId="4" borderId="114" xfId="11" applyNumberFormat="1" applyFont="1" applyFill="1" applyBorder="1" applyAlignment="1">
      <alignment vertical="center"/>
    </xf>
    <xf numFmtId="0" fontId="30" fillId="0" borderId="126" xfId="7" applyFont="1" applyBorder="1"/>
    <xf numFmtId="0" fontId="17" fillId="0" borderId="41" xfId="0" applyFont="1" applyBorder="1" applyAlignment="1">
      <alignment horizontal="center" vertical="center"/>
    </xf>
    <xf numFmtId="2" fontId="109" fillId="0" borderId="113" xfId="186" applyNumberFormat="1" applyFont="1" applyBorder="1" applyAlignment="1">
      <alignment horizontal="center" vertical="center"/>
    </xf>
    <xf numFmtId="0" fontId="20" fillId="13" borderId="0" xfId="0" applyFont="1" applyFill="1" applyAlignment="1">
      <alignment horizontal="left" vertical="center"/>
    </xf>
    <xf numFmtId="4" fontId="17" fillId="0" borderId="8" xfId="0" applyNumberFormat="1" applyFont="1" applyBorder="1" applyAlignment="1">
      <alignment horizontal="center" vertical="center"/>
    </xf>
    <xf numFmtId="4" fontId="17" fillId="0" borderId="0" xfId="0" applyNumberFormat="1" applyFont="1" applyAlignment="1">
      <alignment horizontal="center" vertical="center"/>
    </xf>
    <xf numFmtId="0" fontId="17" fillId="0" borderId="44" xfId="0" applyFont="1" applyBorder="1" applyAlignment="1">
      <alignment vertical="center"/>
    </xf>
    <xf numFmtId="0" fontId="17" fillId="2" borderId="0" xfId="3" applyFont="1" applyFill="1" applyAlignment="1">
      <alignment horizontal="center" vertical="center"/>
    </xf>
    <xf numFmtId="0" fontId="17" fillId="0" borderId="62" xfId="0" applyFont="1" applyBorder="1" applyAlignment="1">
      <alignment vertical="center"/>
    </xf>
    <xf numFmtId="2" fontId="17" fillId="0" borderId="0" xfId="0" applyNumberFormat="1" applyFont="1" applyAlignment="1">
      <alignment horizontal="center" vertical="center"/>
    </xf>
    <xf numFmtId="0" fontId="20" fillId="0" borderId="0" xfId="0" applyFont="1" applyAlignment="1">
      <alignment horizontal="left" vertical="center" wrapText="1"/>
    </xf>
    <xf numFmtId="0" fontId="26" fillId="0" borderId="39" xfId="0" applyFont="1" applyBorder="1" applyAlignment="1">
      <alignment horizontal="left" vertical="center" wrapText="1"/>
    </xf>
    <xf numFmtId="0" fontId="26" fillId="0" borderId="0" xfId="0" applyFont="1" applyAlignment="1">
      <alignment vertical="center" wrapText="1"/>
    </xf>
    <xf numFmtId="0" fontId="17" fillId="0" borderId="36" xfId="0" applyFont="1" applyBorder="1" applyAlignment="1">
      <alignment vertical="center"/>
    </xf>
    <xf numFmtId="0" fontId="17" fillId="0" borderId="47" xfId="0" applyFont="1" applyBorder="1" applyAlignment="1">
      <alignment vertical="center"/>
    </xf>
    <xf numFmtId="0" fontId="17" fillId="0" borderId="36" xfId="0" applyFont="1" applyBorder="1" applyAlignment="1">
      <alignment horizontal="center" vertical="center"/>
    </xf>
    <xf numFmtId="0" fontId="17" fillId="0" borderId="36" xfId="0" applyFont="1" applyBorder="1" applyAlignment="1">
      <alignment horizontal="left" vertical="center"/>
    </xf>
    <xf numFmtId="0" fontId="17" fillId="0" borderId="48" xfId="0" applyFont="1" applyBorder="1" applyAlignment="1">
      <alignment vertical="center"/>
    </xf>
    <xf numFmtId="0" fontId="17" fillId="0" borderId="48" xfId="0" applyFont="1" applyBorder="1" applyAlignment="1">
      <alignment horizontal="center" vertical="center"/>
    </xf>
    <xf numFmtId="0" fontId="17" fillId="0" borderId="48" xfId="0" applyFont="1" applyBorder="1" applyAlignment="1">
      <alignment horizontal="left" vertical="center"/>
    </xf>
    <xf numFmtId="0" fontId="17" fillId="0" borderId="42" xfId="0" applyFont="1" applyBorder="1" applyAlignment="1">
      <alignment vertical="center"/>
    </xf>
    <xf numFmtId="4" fontId="17" fillId="0" borderId="113" xfId="0" applyNumberFormat="1" applyFont="1" applyBorder="1" applyAlignment="1">
      <alignment horizontal="center" vertical="center"/>
    </xf>
    <xf numFmtId="0" fontId="17" fillId="0" borderId="40" xfId="0" applyFont="1" applyBorder="1" applyAlignment="1">
      <alignment horizontal="center" vertical="center"/>
    </xf>
    <xf numFmtId="0" fontId="17" fillId="0" borderId="43" xfId="0" applyFont="1" applyBorder="1" applyAlignment="1">
      <alignment vertical="center"/>
    </xf>
    <xf numFmtId="0" fontId="17" fillId="0" borderId="43" xfId="0" applyFont="1" applyBorder="1" applyAlignment="1">
      <alignment horizontal="center" vertical="center"/>
    </xf>
    <xf numFmtId="0" fontId="25" fillId="0" borderId="0" xfId="90" applyFont="1" applyAlignment="1">
      <alignment horizontal="left" vertical="center"/>
    </xf>
    <xf numFmtId="0" fontId="115" fillId="0" borderId="0" xfId="0" applyFont="1"/>
    <xf numFmtId="0" fontId="17" fillId="0" borderId="32" xfId="0" applyFont="1" applyBorder="1" applyAlignment="1">
      <alignment vertical="center"/>
    </xf>
    <xf numFmtId="0" fontId="25" fillId="0" borderId="32" xfId="90" applyFont="1" applyBorder="1" applyAlignment="1">
      <alignment horizontal="left" vertical="center"/>
    </xf>
    <xf numFmtId="2" fontId="17" fillId="0" borderId="0" xfId="0" applyNumberFormat="1" applyFont="1" applyAlignment="1">
      <alignment horizontal="right" vertical="center"/>
    </xf>
    <xf numFmtId="2" fontId="20" fillId="0" borderId="0" xfId="0" applyNumberFormat="1" applyFont="1" applyAlignment="1">
      <alignment horizontal="right" vertical="center"/>
    </xf>
    <xf numFmtId="0" fontId="17" fillId="0" borderId="0" xfId="0" applyFont="1" applyAlignment="1">
      <alignment horizontal="right" vertical="center"/>
    </xf>
    <xf numFmtId="2" fontId="25" fillId="0" borderId="0" xfId="0" applyNumberFormat="1" applyFont="1" applyAlignment="1">
      <alignment horizontal="right" vertical="center" wrapText="1"/>
    </xf>
    <xf numFmtId="0" fontId="25" fillId="0" borderId="32" xfId="0" applyFont="1" applyBorder="1" applyAlignment="1">
      <alignment vertical="center"/>
    </xf>
    <xf numFmtId="2" fontId="25" fillId="0" borderId="7" xfId="0" applyNumberFormat="1" applyFont="1" applyBorder="1" applyAlignment="1">
      <alignment horizontal="center" vertical="center"/>
    </xf>
    <xf numFmtId="0" fontId="25" fillId="0" borderId="7" xfId="0" applyFont="1" applyBorder="1" applyAlignment="1">
      <alignment horizontal="center" vertical="center"/>
    </xf>
    <xf numFmtId="0" fontId="25" fillId="0" borderId="113" xfId="0" applyFont="1" applyBorder="1" applyAlignment="1">
      <alignment horizontal="center" vertical="center"/>
    </xf>
    <xf numFmtId="0" fontId="25" fillId="0" borderId="30" xfId="0" applyFont="1" applyBorder="1" applyAlignment="1">
      <alignment vertical="center"/>
    </xf>
    <xf numFmtId="0" fontId="26" fillId="0" borderId="110" xfId="0" applyFont="1" applyBorder="1" applyAlignment="1">
      <alignment vertical="center"/>
    </xf>
    <xf numFmtId="4" fontId="17" fillId="0" borderId="114" xfId="0" applyNumberFormat="1" applyFont="1" applyBorder="1" applyAlignment="1">
      <alignment horizontal="center" vertical="center"/>
    </xf>
    <xf numFmtId="0" fontId="20" fillId="13" borderId="0" xfId="0" applyFont="1" applyFill="1" applyAlignment="1">
      <alignment horizontal="center" vertical="center"/>
    </xf>
    <xf numFmtId="0" fontId="17" fillId="13" borderId="0" xfId="0" applyFont="1" applyFill="1" applyAlignment="1">
      <alignment vertical="center"/>
    </xf>
    <xf numFmtId="0" fontId="17" fillId="13" borderId="0" xfId="0" applyFont="1" applyFill="1" applyAlignment="1">
      <alignment horizontal="left" vertical="center"/>
    </xf>
    <xf numFmtId="4" fontId="17" fillId="13" borderId="0" xfId="0" applyNumberFormat="1" applyFont="1" applyFill="1" applyAlignment="1">
      <alignment horizontal="center" vertical="center"/>
    </xf>
    <xf numFmtId="0" fontId="113" fillId="0" borderId="0" xfId="90" applyFont="1" applyAlignment="1">
      <alignment horizontal="left" vertical="center"/>
    </xf>
    <xf numFmtId="0" fontId="111" fillId="0" borderId="0" xfId="90" applyFont="1" applyAlignment="1">
      <alignment horizontal="left" vertical="center"/>
    </xf>
    <xf numFmtId="0" fontId="110" fillId="0" borderId="0" xfId="90" applyFont="1" applyAlignment="1">
      <alignment horizontal="left" vertical="center"/>
    </xf>
    <xf numFmtId="0" fontId="63" fillId="0" borderId="0" xfId="90" applyFont="1" applyAlignment="1">
      <alignment horizontal="left" vertical="center"/>
    </xf>
    <xf numFmtId="0" fontId="25" fillId="0" borderId="110" xfId="0" applyFont="1" applyBorder="1" applyAlignment="1">
      <alignment vertical="center"/>
    </xf>
    <xf numFmtId="0" fontId="20" fillId="0" borderId="0" xfId="0" applyFont="1" applyAlignment="1">
      <alignment vertical="center" wrapText="1"/>
    </xf>
    <xf numFmtId="4" fontId="24" fillId="0" borderId="7" xfId="0" applyNumberFormat="1" applyFont="1" applyBorder="1" applyAlignment="1">
      <alignment horizontal="center" vertical="center"/>
    </xf>
    <xf numFmtId="0" fontId="116" fillId="0" borderId="0" xfId="0" applyFont="1" applyAlignment="1">
      <alignment horizontal="left" vertical="center"/>
    </xf>
    <xf numFmtId="0" fontId="116" fillId="0" borderId="0" xfId="0" applyFont="1" applyAlignment="1">
      <alignment vertical="center"/>
    </xf>
    <xf numFmtId="0" fontId="63" fillId="0" borderId="8" xfId="0" applyFont="1" applyBorder="1" applyAlignment="1">
      <alignment horizontal="center" vertical="center"/>
    </xf>
    <xf numFmtId="0" fontId="63" fillId="0" borderId="8" xfId="0" applyFont="1" applyBorder="1" applyAlignment="1">
      <alignment horizontal="right" vertical="center"/>
    </xf>
    <xf numFmtId="17" fontId="63" fillId="0" borderId="8" xfId="0" applyNumberFormat="1" applyFont="1" applyBorder="1" applyAlignment="1">
      <alignment horizontal="center" vertical="center"/>
    </xf>
    <xf numFmtId="168" fontId="116" fillId="0" borderId="100" xfId="0" applyNumberFormat="1" applyFont="1" applyBorder="1" applyAlignment="1">
      <alignment horizontal="center" vertical="center"/>
    </xf>
    <xf numFmtId="168" fontId="116" fillId="3" borderId="7" xfId="0" applyNumberFormat="1" applyFont="1" applyFill="1" applyBorder="1" applyAlignment="1">
      <alignment horizontal="center" vertical="center"/>
    </xf>
    <xf numFmtId="168" fontId="116" fillId="0" borderId="7" xfId="0" applyNumberFormat="1" applyFont="1" applyBorder="1" applyAlignment="1">
      <alignment horizontal="center" vertical="center"/>
    </xf>
    <xf numFmtId="168" fontId="116" fillId="0" borderId="15" xfId="0" applyNumberFormat="1" applyFont="1" applyBorder="1" applyAlignment="1">
      <alignment horizontal="center" vertical="center"/>
    </xf>
    <xf numFmtId="168" fontId="63" fillId="0" borderId="8" xfId="0" applyNumberFormat="1" applyFont="1" applyBorder="1" applyAlignment="1">
      <alignment horizontal="center" vertical="center"/>
    </xf>
    <xf numFmtId="10" fontId="116" fillId="0" borderId="8" xfId="185" applyNumberFormat="1" applyFont="1" applyBorder="1" applyAlignment="1">
      <alignment horizontal="center" vertical="center"/>
    </xf>
    <xf numFmtId="168" fontId="116" fillId="0" borderId="113" xfId="185" applyNumberFormat="1" applyFont="1" applyBorder="1" applyAlignment="1">
      <alignment horizontal="center" vertical="center"/>
    </xf>
    <xf numFmtId="0" fontId="116" fillId="0" borderId="0" xfId="0" applyFont="1" applyAlignment="1">
      <alignment horizontal="center" vertical="center"/>
    </xf>
    <xf numFmtId="0" fontId="110" fillId="2" borderId="111" xfId="7" applyFont="1" applyFill="1" applyBorder="1" applyAlignment="1">
      <alignment horizontal="center" vertical="center"/>
    </xf>
    <xf numFmtId="0" fontId="116" fillId="0" borderId="0" xfId="3" applyFont="1" applyAlignment="1">
      <alignment vertical="center"/>
    </xf>
    <xf numFmtId="0" fontId="116" fillId="0" borderId="0" xfId="3" applyFont="1" applyAlignment="1">
      <alignment horizontal="center" vertical="center"/>
    </xf>
    <xf numFmtId="0" fontId="63" fillId="0" borderId="111" xfId="10" applyFont="1" applyBorder="1" applyAlignment="1">
      <alignment horizontal="center" vertical="center"/>
    </xf>
    <xf numFmtId="0" fontId="109" fillId="0" borderId="0" xfId="0" applyFont="1" applyAlignment="1">
      <alignment vertical="center"/>
    </xf>
    <xf numFmtId="0" fontId="109" fillId="0" borderId="0" xfId="0" applyFont="1" applyAlignment="1">
      <alignment horizontal="center" vertical="center"/>
    </xf>
    <xf numFmtId="0" fontId="63" fillId="0" borderId="111" xfId="3" applyFont="1" applyBorder="1" applyAlignment="1">
      <alignment horizontal="center" vertical="center"/>
    </xf>
    <xf numFmtId="0" fontId="109" fillId="0" borderId="111" xfId="25" applyFont="1" applyBorder="1" applyAlignment="1">
      <alignment horizontal="center" vertical="center"/>
    </xf>
    <xf numFmtId="164" fontId="109" fillId="0" borderId="113" xfId="25" applyNumberFormat="1" applyFont="1" applyBorder="1" applyAlignment="1">
      <alignment horizontal="left" vertical="center" wrapText="1"/>
    </xf>
    <xf numFmtId="4" fontId="116" fillId="0" borderId="113" xfId="10" applyNumberFormat="1" applyFont="1" applyBorder="1" applyAlignment="1">
      <alignment horizontal="center" vertical="center"/>
    </xf>
    <xf numFmtId="0" fontId="116" fillId="0" borderId="113" xfId="10" applyFont="1" applyBorder="1" applyAlignment="1">
      <alignment horizontal="center" vertical="center"/>
    </xf>
    <xf numFmtId="168" fontId="116" fillId="0" borderId="112" xfId="10" applyNumberFormat="1" applyFont="1" applyBorder="1" applyAlignment="1">
      <alignment horizontal="center" vertical="center"/>
    </xf>
    <xf numFmtId="168" fontId="110" fillId="0" borderId="124" xfId="3" applyNumberFormat="1" applyFont="1" applyBorder="1" applyAlignment="1">
      <alignment horizontal="center" vertical="center"/>
    </xf>
    <xf numFmtId="178" fontId="116" fillId="0" borderId="0" xfId="185" applyNumberFormat="1" applyFont="1" applyFill="1" applyAlignment="1">
      <alignment horizontal="center" vertical="center"/>
    </xf>
    <xf numFmtId="0" fontId="110" fillId="0" borderId="0" xfId="134" applyFont="1" applyAlignment="1">
      <alignment horizontal="center" vertical="center"/>
    </xf>
    <xf numFmtId="168" fontId="116" fillId="0" borderId="0" xfId="3" applyNumberFormat="1" applyFont="1" applyAlignment="1">
      <alignment horizontal="center" vertical="center"/>
    </xf>
    <xf numFmtId="0" fontId="109" fillId="0" borderId="0" xfId="90" applyFont="1" applyAlignment="1">
      <alignment horizontal="center" vertical="center"/>
    </xf>
    <xf numFmtId="0" fontId="109" fillId="0" borderId="0" xfId="134" applyFont="1" applyAlignment="1">
      <alignment vertical="center"/>
    </xf>
    <xf numFmtId="0" fontId="117" fillId="0" borderId="0" xfId="90" applyFont="1" applyAlignment="1">
      <alignment horizontal="left" vertical="center"/>
    </xf>
    <xf numFmtId="0" fontId="63" fillId="0" borderId="113" xfId="3" applyFont="1" applyBorder="1" applyAlignment="1">
      <alignment horizontal="center" vertical="center" wrapText="1"/>
    </xf>
    <xf numFmtId="168" fontId="63" fillId="0" borderId="113" xfId="3" applyNumberFormat="1" applyFont="1" applyBorder="1" applyAlignment="1">
      <alignment horizontal="center" vertical="center" wrapText="1"/>
    </xf>
    <xf numFmtId="0" fontId="110" fillId="0" borderId="111" xfId="25" applyFont="1" applyBorder="1" applyAlignment="1">
      <alignment horizontal="center" vertical="center"/>
    </xf>
    <xf numFmtId="164" fontId="110" fillId="0" borderId="113" xfId="25" applyNumberFormat="1" applyFont="1" applyBorder="1" applyAlignment="1">
      <alignment horizontal="left" vertical="center" wrapText="1"/>
    </xf>
    <xf numFmtId="168" fontId="116" fillId="0" borderId="113" xfId="10" applyNumberFormat="1" applyFont="1" applyBorder="1" applyAlignment="1">
      <alignment horizontal="distributed" vertical="center"/>
    </xf>
    <xf numFmtId="9" fontId="116" fillId="0" borderId="113" xfId="10" applyNumberFormat="1" applyFont="1" applyBorder="1" applyAlignment="1">
      <alignment horizontal="center" vertical="center"/>
    </xf>
    <xf numFmtId="0" fontId="116" fillId="0" borderId="111" xfId="10" applyFont="1" applyBorder="1" applyAlignment="1">
      <alignment horizontal="center" vertical="center"/>
    </xf>
    <xf numFmtId="0" fontId="116" fillId="0" borderId="113" xfId="10" applyFont="1" applyBorder="1" applyAlignment="1">
      <alignment vertical="center" wrapText="1"/>
    </xf>
    <xf numFmtId="4" fontId="116" fillId="0" borderId="113" xfId="3" applyNumberFormat="1" applyFont="1" applyBorder="1" applyAlignment="1">
      <alignment horizontal="center" vertical="center"/>
    </xf>
    <xf numFmtId="168" fontId="116" fillId="0" borderId="112" xfId="1" applyNumberFormat="1" applyFont="1" applyFill="1" applyBorder="1" applyAlignment="1">
      <alignment horizontal="center" vertical="center"/>
    </xf>
    <xf numFmtId="10" fontId="116" fillId="0" borderId="113" xfId="3" applyNumberFormat="1" applyFont="1" applyBorder="1" applyAlignment="1">
      <alignment horizontal="center" vertical="center"/>
    </xf>
    <xf numFmtId="168" fontId="116" fillId="0" borderId="0" xfId="3" applyNumberFormat="1" applyFont="1" applyAlignment="1">
      <alignment vertical="center"/>
    </xf>
    <xf numFmtId="0" fontId="116" fillId="0" borderId="113" xfId="3" applyFont="1" applyBorder="1" applyAlignment="1">
      <alignment horizontal="center" vertical="center"/>
    </xf>
    <xf numFmtId="0" fontId="116" fillId="0" borderId="113" xfId="10" applyFont="1" applyBorder="1" applyAlignment="1">
      <alignment horizontal="justify" vertical="center" wrapText="1"/>
    </xf>
    <xf numFmtId="2" fontId="109" fillId="0" borderId="113" xfId="0" applyNumberFormat="1" applyFont="1" applyBorder="1" applyAlignment="1">
      <alignment horizontal="center" vertical="center"/>
    </xf>
    <xf numFmtId="10" fontId="116" fillId="0" borderId="113" xfId="10" applyNumberFormat="1" applyFont="1" applyBorder="1" applyAlignment="1">
      <alignment horizontal="center" vertical="center"/>
    </xf>
    <xf numFmtId="0" fontId="118" fillId="0" borderId="0" xfId="0" applyFont="1" applyAlignment="1">
      <alignment horizontal="left" vertical="center"/>
    </xf>
    <xf numFmtId="0" fontId="118" fillId="0" borderId="0" xfId="0" applyFont="1" applyAlignment="1">
      <alignment horizontal="center" vertical="center"/>
    </xf>
    <xf numFmtId="0" fontId="116" fillId="0" borderId="111" xfId="3" applyFont="1" applyBorder="1" applyAlignment="1">
      <alignment horizontal="center" vertical="center"/>
    </xf>
    <xf numFmtId="0" fontId="63" fillId="0" borderId="113" xfId="3" applyFont="1" applyBorder="1" applyAlignment="1">
      <alignment horizontal="right" vertical="center"/>
    </xf>
    <xf numFmtId="9" fontId="116" fillId="0" borderId="113" xfId="3" applyNumberFormat="1" applyFont="1" applyBorder="1" applyAlignment="1">
      <alignment horizontal="center" vertical="center"/>
    </xf>
    <xf numFmtId="168" fontId="116" fillId="0" borderId="113" xfId="3" applyNumberFormat="1" applyFont="1" applyBorder="1" applyAlignment="1">
      <alignment horizontal="distributed" vertical="center"/>
    </xf>
    <xf numFmtId="168" fontId="63" fillId="0" borderId="112" xfId="1" applyNumberFormat="1" applyFont="1" applyFill="1" applyBorder="1" applyAlignment="1">
      <alignment horizontal="center" vertical="center"/>
    </xf>
    <xf numFmtId="164" fontId="63" fillId="0" borderId="113" xfId="25" applyNumberFormat="1" applyFont="1" applyBorder="1" applyAlignment="1">
      <alignment horizontal="left" vertical="center" wrapText="1"/>
    </xf>
    <xf numFmtId="10" fontId="109" fillId="0" borderId="113" xfId="10" applyNumberFormat="1" applyFont="1" applyBorder="1" applyAlignment="1">
      <alignment horizontal="center" vertical="center"/>
    </xf>
    <xf numFmtId="168" fontId="109" fillId="0" borderId="112" xfId="1" applyNumberFormat="1" applyFont="1" applyFill="1" applyBorder="1" applyAlignment="1">
      <alignment horizontal="center" vertical="center"/>
    </xf>
    <xf numFmtId="170" fontId="116" fillId="0" borderId="0" xfId="3" applyNumberFormat="1" applyFont="1" applyAlignment="1">
      <alignment vertical="center"/>
    </xf>
    <xf numFmtId="0" fontId="109" fillId="0" borderId="113" xfId="0" applyFont="1" applyBorder="1" applyAlignment="1">
      <alignment horizontal="center" vertical="center"/>
    </xf>
    <xf numFmtId="0" fontId="110" fillId="0" borderId="113" xfId="10" applyFont="1" applyBorder="1" applyAlignment="1">
      <alignment horizontal="left" vertical="center" wrapText="1"/>
    </xf>
    <xf numFmtId="168" fontId="118" fillId="0" borderId="0" xfId="0" applyNumberFormat="1" applyFont="1" applyAlignment="1">
      <alignment horizontal="left" vertical="center"/>
    </xf>
    <xf numFmtId="0" fontId="109" fillId="0" borderId="113" xfId="10" applyFont="1" applyBorder="1" applyAlignment="1">
      <alignment horizontal="left" vertical="center" wrapText="1"/>
    </xf>
    <xf numFmtId="2" fontId="116" fillId="0" borderId="113" xfId="0" applyNumberFormat="1" applyFont="1" applyBorder="1" applyAlignment="1">
      <alignment horizontal="center" vertical="center"/>
    </xf>
    <xf numFmtId="0" fontId="63" fillId="0" borderId="0" xfId="3" applyFont="1" applyAlignment="1">
      <alignment vertical="center"/>
    </xf>
    <xf numFmtId="0" fontId="63" fillId="0" borderId="0" xfId="3" applyFont="1" applyAlignment="1">
      <alignment horizontal="center" vertical="center"/>
    </xf>
    <xf numFmtId="0" fontId="63" fillId="0" borderId="113" xfId="10" applyFont="1" applyBorder="1" applyAlignment="1">
      <alignment horizontal="justify" vertical="center" wrapText="1"/>
    </xf>
    <xf numFmtId="0" fontId="110" fillId="0" borderId="113" xfId="25" applyFont="1" applyBorder="1" applyAlignment="1">
      <alignment horizontal="left" vertical="center" wrapText="1"/>
    </xf>
    <xf numFmtId="164" fontId="110" fillId="0" borderId="0" xfId="25" applyNumberFormat="1" applyFont="1" applyAlignment="1">
      <alignment horizontal="left" vertical="center" wrapText="1"/>
    </xf>
    <xf numFmtId="0" fontId="116" fillId="0" borderId="0" xfId="10" applyFont="1" applyAlignment="1">
      <alignment vertical="center"/>
    </xf>
    <xf numFmtId="0" fontId="116" fillId="0" borderId="0" xfId="10" applyFont="1" applyAlignment="1">
      <alignment horizontal="center" vertical="center"/>
    </xf>
    <xf numFmtId="4" fontId="109" fillId="0" borderId="113" xfId="10" applyNumberFormat="1" applyFont="1" applyBorder="1" applyAlignment="1">
      <alignment horizontal="center" vertical="center"/>
    </xf>
    <xf numFmtId="0" fontId="63" fillId="0" borderId="113" xfId="10" applyFont="1" applyBorder="1" applyAlignment="1">
      <alignment horizontal="right" vertical="center"/>
    </xf>
    <xf numFmtId="49" fontId="17" fillId="0" borderId="37" xfId="0" applyNumberFormat="1" applyFont="1" applyBorder="1" applyAlignment="1">
      <alignment horizontal="center" vertical="center"/>
    </xf>
    <xf numFmtId="2" fontId="25" fillId="0" borderId="0" xfId="0" applyNumberFormat="1" applyFont="1" applyAlignment="1">
      <alignment vertical="center"/>
    </xf>
    <xf numFmtId="0" fontId="20" fillId="13" borderId="0" xfId="0" applyFont="1" applyFill="1" applyAlignment="1">
      <alignment vertical="center"/>
    </xf>
    <xf numFmtId="2" fontId="64" fillId="0" borderId="0" xfId="0" applyNumberFormat="1" applyFont="1" applyAlignment="1">
      <alignment horizontal="right" vertical="center" wrapText="1"/>
    </xf>
    <xf numFmtId="0" fontId="64" fillId="0" borderId="0" xfId="0" applyFont="1" applyAlignment="1">
      <alignment horizontal="left" vertical="center" wrapText="1"/>
    </xf>
    <xf numFmtId="0" fontId="0" fillId="0" borderId="47" xfId="0" applyBorder="1" applyAlignment="1">
      <alignment vertical="center"/>
    </xf>
    <xf numFmtId="0" fontId="24" fillId="0" borderId="53" xfId="0" applyFont="1" applyBorder="1" applyAlignment="1">
      <alignment vertical="center"/>
    </xf>
    <xf numFmtId="0" fontId="17" fillId="0" borderId="0" xfId="0" applyFont="1" applyAlignment="1">
      <alignment vertical="center"/>
    </xf>
    <xf numFmtId="168" fontId="116" fillId="2" borderId="112" xfId="1" applyNumberFormat="1" applyFont="1" applyFill="1" applyBorder="1" applyAlignment="1">
      <alignment horizontal="center" vertical="center"/>
    </xf>
    <xf numFmtId="0" fontId="29" fillId="2" borderId="12" xfId="7" applyFont="1" applyFill="1" applyBorder="1" applyAlignment="1">
      <alignment horizontal="left" vertical="center" wrapText="1"/>
    </xf>
    <xf numFmtId="0" fontId="29" fillId="2" borderId="14" xfId="7" applyFont="1" applyFill="1" applyBorder="1" applyAlignment="1">
      <alignment horizontal="left" vertical="center" wrapText="1"/>
    </xf>
    <xf numFmtId="0" fontId="29" fillId="2" borderId="13" xfId="7" applyFont="1" applyFill="1" applyBorder="1" applyAlignment="1">
      <alignment horizontal="left" vertical="center" wrapText="1"/>
    </xf>
    <xf numFmtId="49" fontId="17" fillId="0" borderId="12" xfId="3" applyNumberFormat="1" applyFont="1" applyBorder="1" applyAlignment="1">
      <alignment horizontal="center" vertical="center"/>
    </xf>
    <xf numFmtId="49" fontId="17" fillId="0" borderId="13" xfId="3" applyNumberFormat="1" applyFont="1" applyBorder="1" applyAlignment="1">
      <alignment horizontal="center" vertical="center"/>
    </xf>
    <xf numFmtId="49" fontId="17" fillId="0" borderId="12" xfId="10" applyNumberFormat="1" applyBorder="1" applyAlignment="1">
      <alignment horizontal="center" vertical="center"/>
    </xf>
    <xf numFmtId="49" fontId="17" fillId="0" borderId="13" xfId="10" applyNumberFormat="1" applyBorder="1" applyAlignment="1">
      <alignment horizontal="center" vertical="center"/>
    </xf>
    <xf numFmtId="1" fontId="25" fillId="0" borderId="12" xfId="10" applyNumberFormat="1" applyFont="1" applyBorder="1" applyAlignment="1">
      <alignment horizontal="center" vertical="center"/>
    </xf>
    <xf numFmtId="1" fontId="25" fillId="0" borderId="13" xfId="10" applyNumberFormat="1" applyFont="1" applyBorder="1" applyAlignment="1">
      <alignment horizontal="center" vertical="center"/>
    </xf>
    <xf numFmtId="0" fontId="17" fillId="4" borderId="12" xfId="3" applyFont="1" applyFill="1" applyBorder="1" applyAlignment="1">
      <alignment horizontal="center" vertical="center"/>
    </xf>
    <xf numFmtId="0" fontId="17" fillId="4" borderId="14" xfId="3" applyFont="1" applyFill="1" applyBorder="1" applyAlignment="1">
      <alignment horizontal="center" vertical="center"/>
    </xf>
    <xf numFmtId="0" fontId="17" fillId="4" borderId="13" xfId="3" applyFont="1" applyFill="1" applyBorder="1" applyAlignment="1">
      <alignment horizontal="center" vertical="center"/>
    </xf>
    <xf numFmtId="49" fontId="25" fillId="0" borderId="12" xfId="3" applyNumberFormat="1" applyFont="1" applyBorder="1" applyAlignment="1">
      <alignment horizontal="center" vertical="center"/>
    </xf>
    <xf numFmtId="49" fontId="25" fillId="0" borderId="13" xfId="3" applyNumberFormat="1" applyFont="1" applyBorder="1" applyAlignment="1">
      <alignment horizontal="center" vertical="center"/>
    </xf>
    <xf numFmtId="49" fontId="25" fillId="0" borderId="12" xfId="10" applyNumberFormat="1" applyFont="1" applyBorder="1" applyAlignment="1">
      <alignment horizontal="center" vertical="center"/>
    </xf>
    <xf numFmtId="49" fontId="25" fillId="0" borderId="13" xfId="10" applyNumberFormat="1" applyFont="1" applyBorder="1" applyAlignment="1">
      <alignment horizontal="center" vertical="center"/>
    </xf>
    <xf numFmtId="0" fontId="23" fillId="0" borderId="22" xfId="10" applyFont="1" applyBorder="1" applyAlignment="1">
      <alignment horizontal="center" vertical="center"/>
    </xf>
    <xf numFmtId="0" fontId="23" fillId="0" borderId="20" xfId="10" applyFont="1" applyBorder="1" applyAlignment="1">
      <alignment horizontal="center" vertical="center"/>
    </xf>
    <xf numFmtId="0" fontId="23" fillId="0" borderId="23" xfId="10" applyFont="1" applyBorder="1" applyAlignment="1">
      <alignment horizontal="center" vertical="center"/>
    </xf>
    <xf numFmtId="0" fontId="20" fillId="10" borderId="18" xfId="3" applyFont="1" applyFill="1" applyBorder="1" applyAlignment="1">
      <alignment horizontal="center" vertical="center"/>
    </xf>
    <xf numFmtId="0" fontId="20" fillId="10" borderId="21" xfId="3" applyFont="1" applyFill="1" applyBorder="1" applyAlignment="1">
      <alignment horizontal="center" vertical="center"/>
    </xf>
    <xf numFmtId="0" fontId="20" fillId="10" borderId="18" xfId="3" applyFont="1" applyFill="1" applyBorder="1" applyAlignment="1">
      <alignment horizontal="center" vertical="center" wrapText="1"/>
    </xf>
    <xf numFmtId="0" fontId="20" fillId="10" borderId="21" xfId="3" applyFont="1" applyFill="1" applyBorder="1" applyAlignment="1">
      <alignment horizontal="center" vertical="center" wrapText="1"/>
    </xf>
    <xf numFmtId="0" fontId="29" fillId="2" borderId="12" xfId="7" applyFont="1" applyFill="1" applyBorder="1" applyAlignment="1">
      <alignment horizontal="left" vertical="center"/>
    </xf>
    <xf numFmtId="0" fontId="29" fillId="2" borderId="14" xfId="7" applyFont="1" applyFill="1" applyBorder="1" applyAlignment="1">
      <alignment horizontal="left" vertical="center"/>
    </xf>
    <xf numFmtId="0" fontId="29" fillId="2" borderId="13" xfId="7" applyFont="1" applyFill="1" applyBorder="1" applyAlignment="1">
      <alignment horizontal="left" vertical="center"/>
    </xf>
    <xf numFmtId="0" fontId="22" fillId="10" borderId="18" xfId="3" applyFont="1" applyFill="1" applyBorder="1" applyAlignment="1">
      <alignment horizontal="center" vertical="center" wrapText="1"/>
    </xf>
    <xf numFmtId="0" fontId="22" fillId="10" borderId="21" xfId="3" applyFont="1" applyFill="1" applyBorder="1" applyAlignment="1">
      <alignment horizontal="center" vertical="center" wrapText="1"/>
    </xf>
    <xf numFmtId="0" fontId="20" fillId="10" borderId="22" xfId="3" applyFont="1" applyFill="1" applyBorder="1" applyAlignment="1">
      <alignment horizontal="center" vertical="center" wrapText="1"/>
    </xf>
    <xf numFmtId="0" fontId="20" fillId="10" borderId="23" xfId="3" applyFont="1" applyFill="1" applyBorder="1" applyAlignment="1">
      <alignment horizontal="center" vertical="center" wrapText="1"/>
    </xf>
    <xf numFmtId="0" fontId="17" fillId="0" borderId="12" xfId="3" applyFont="1" applyBorder="1" applyAlignment="1">
      <alignment horizontal="center" vertical="center"/>
    </xf>
    <xf numFmtId="0" fontId="17" fillId="0" borderId="13" xfId="3" applyFont="1" applyBorder="1" applyAlignment="1">
      <alignment horizontal="center" vertical="center"/>
    </xf>
    <xf numFmtId="43" fontId="26" fillId="0" borderId="14" xfId="10" applyNumberFormat="1" applyFont="1" applyBorder="1" applyAlignment="1">
      <alignment horizontal="left" vertical="center"/>
    </xf>
    <xf numFmtId="43" fontId="26" fillId="0" borderId="25" xfId="10" applyNumberFormat="1" applyFont="1" applyBorder="1" applyAlignment="1">
      <alignment horizontal="left" vertical="center"/>
    </xf>
    <xf numFmtId="0" fontId="21" fillId="10" borderId="12" xfId="3" applyFont="1" applyFill="1" applyBorder="1" applyAlignment="1">
      <alignment horizontal="right" vertical="center"/>
    </xf>
    <xf numFmtId="0" fontId="21" fillId="10" borderId="14" xfId="3" applyFont="1" applyFill="1" applyBorder="1" applyAlignment="1">
      <alignment horizontal="right" vertical="center"/>
    </xf>
    <xf numFmtId="0" fontId="21" fillId="10" borderId="13" xfId="3" applyFont="1" applyFill="1" applyBorder="1" applyAlignment="1">
      <alignment horizontal="right" vertical="center"/>
    </xf>
    <xf numFmtId="0" fontId="116" fillId="0" borderId="32" xfId="3" applyFont="1" applyBorder="1" applyAlignment="1">
      <alignment horizontal="center" vertical="center"/>
    </xf>
    <xf numFmtId="0" fontId="109" fillId="0" borderId="125" xfId="90" applyFont="1" applyBorder="1" applyAlignment="1">
      <alignment horizontal="center" vertical="center"/>
    </xf>
    <xf numFmtId="0" fontId="63" fillId="0" borderId="111" xfId="10" applyFont="1" applyBorder="1" applyAlignment="1">
      <alignment horizontal="center" vertical="center"/>
    </xf>
    <xf numFmtId="0" fontId="63" fillId="0" borderId="113" xfId="10" applyFont="1" applyBorder="1" applyAlignment="1">
      <alignment horizontal="center" vertical="center"/>
    </xf>
    <xf numFmtId="0" fontId="63" fillId="0" borderId="112" xfId="10" applyFont="1" applyBorder="1" applyAlignment="1">
      <alignment horizontal="center" vertical="center"/>
    </xf>
    <xf numFmtId="0" fontId="110" fillId="2" borderId="113" xfId="7" applyFont="1" applyFill="1" applyBorder="1" applyAlignment="1">
      <alignment horizontal="left" vertical="center" wrapText="1"/>
    </xf>
    <xf numFmtId="0" fontId="110" fillId="2" borderId="112" xfId="7" applyFont="1" applyFill="1" applyBorder="1" applyAlignment="1">
      <alignment horizontal="left" vertical="center" wrapText="1"/>
    </xf>
    <xf numFmtId="0" fontId="63" fillId="0" borderId="111" xfId="3" applyFont="1" applyBorder="1" applyAlignment="1">
      <alignment horizontal="center" vertical="center"/>
    </xf>
    <xf numFmtId="0" fontId="63" fillId="0" borderId="113" xfId="3" applyFont="1" applyBorder="1" applyAlignment="1">
      <alignment horizontal="center" vertical="center"/>
    </xf>
    <xf numFmtId="168" fontId="63" fillId="0" borderId="112" xfId="3" applyNumberFormat="1" applyFont="1" applyBorder="1" applyAlignment="1">
      <alignment horizontal="center" vertical="center" wrapText="1"/>
    </xf>
    <xf numFmtId="0" fontId="63" fillId="0" borderId="128" xfId="3" applyFont="1" applyBorder="1" applyAlignment="1">
      <alignment horizontal="right" vertical="center"/>
    </xf>
    <xf numFmtId="0" fontId="63" fillId="0" borderId="122" xfId="3" applyFont="1" applyBorder="1" applyAlignment="1">
      <alignment horizontal="right" vertical="center"/>
    </xf>
    <xf numFmtId="0" fontId="24" fillId="0" borderId="0" xfId="0" applyFont="1" applyAlignment="1">
      <alignment horizontal="center" vertical="center" wrapText="1"/>
    </xf>
    <xf numFmtId="0" fontId="24" fillId="0" borderId="42" xfId="0" applyFont="1" applyBorder="1" applyAlignment="1">
      <alignment horizontal="left" vertical="center"/>
    </xf>
    <xf numFmtId="0" fontId="24" fillId="0" borderId="39" xfId="0" applyFont="1" applyBorder="1" applyAlignment="1">
      <alignment horizontal="left" vertical="center"/>
    </xf>
    <xf numFmtId="0" fontId="24" fillId="0" borderId="40" xfId="0" applyFont="1" applyBorder="1" applyAlignment="1">
      <alignment horizontal="left" vertical="center"/>
    </xf>
    <xf numFmtId="0" fontId="17" fillId="0" borderId="0" xfId="65" applyAlignment="1">
      <alignment horizontal="center" vertical="center"/>
    </xf>
    <xf numFmtId="0" fontId="24" fillId="0" borderId="53" xfId="0" applyFont="1" applyBorder="1" applyAlignment="1">
      <alignment horizontal="left" vertical="center"/>
    </xf>
    <xf numFmtId="0" fontId="24" fillId="2" borderId="42" xfId="0" applyFont="1" applyFill="1" applyBorder="1" applyAlignment="1">
      <alignment horizontal="left" vertical="center"/>
    </xf>
    <xf numFmtId="0" fontId="24" fillId="2" borderId="39" xfId="0" applyFont="1" applyFill="1" applyBorder="1" applyAlignment="1">
      <alignment horizontal="left" vertical="center"/>
    </xf>
    <xf numFmtId="0" fontId="24" fillId="2" borderId="53" xfId="0" applyFont="1" applyFill="1" applyBorder="1" applyAlignment="1">
      <alignment horizontal="left" vertical="center"/>
    </xf>
    <xf numFmtId="0" fontId="24" fillId="0" borderId="4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2" xfId="0" applyFont="1" applyBorder="1" applyAlignment="1">
      <alignment horizontal="left" vertical="center" wrapText="1"/>
    </xf>
    <xf numFmtId="0" fontId="24" fillId="0" borderId="39" xfId="0" applyFont="1" applyBorder="1" applyAlignment="1">
      <alignment horizontal="left" vertical="center" wrapText="1"/>
    </xf>
    <xf numFmtId="0" fontId="24" fillId="0" borderId="53" xfId="0" applyFont="1" applyBorder="1" applyAlignment="1">
      <alignment horizontal="left" vertical="center" wrapText="1"/>
    </xf>
    <xf numFmtId="0" fontId="24" fillId="0" borderId="0" xfId="0" applyFont="1" applyAlignment="1">
      <alignment horizontal="left" vertical="center"/>
    </xf>
    <xf numFmtId="0" fontId="24" fillId="0" borderId="89" xfId="0" applyFont="1" applyBorder="1" applyAlignment="1">
      <alignment horizontal="center" vertical="center"/>
    </xf>
    <xf numFmtId="0" fontId="24" fillId="0" borderId="43" xfId="0" applyFont="1" applyBorder="1" applyAlignment="1">
      <alignment horizontal="center" vertical="center"/>
    </xf>
    <xf numFmtId="0" fontId="24" fillId="0" borderId="62" xfId="0" applyFont="1" applyBorder="1" applyAlignment="1">
      <alignment horizontal="center" vertical="center"/>
    </xf>
    <xf numFmtId="0" fontId="25" fillId="0" borderId="8" xfId="0" applyFont="1" applyBorder="1" applyAlignment="1">
      <alignment horizontal="center" vertical="center"/>
    </xf>
    <xf numFmtId="0" fontId="0" fillId="0" borderId="0" xfId="0" applyAlignment="1">
      <alignment horizontal="center" vertical="center"/>
    </xf>
    <xf numFmtId="0" fontId="24" fillId="0" borderId="38"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22" xfId="0" applyFont="1" applyBorder="1" applyAlignment="1">
      <alignment horizontal="right" vertical="center"/>
    </xf>
    <xf numFmtId="0" fontId="24" fillId="0" borderId="30" xfId="0" applyFont="1" applyBorder="1" applyAlignment="1">
      <alignment horizontal="right" vertical="center"/>
    </xf>
    <xf numFmtId="0" fontId="24" fillId="0" borderId="88" xfId="0" applyFont="1" applyBorder="1" applyAlignment="1">
      <alignment horizontal="left" vertical="center"/>
    </xf>
    <xf numFmtId="0" fontId="24" fillId="0" borderId="67" xfId="0" applyFont="1" applyBorder="1" applyAlignment="1">
      <alignment horizontal="left" vertical="center"/>
    </xf>
    <xf numFmtId="0" fontId="26" fillId="0" borderId="8" xfId="0" applyFont="1" applyBorder="1" applyAlignment="1">
      <alignment horizontal="center" vertical="center"/>
    </xf>
    <xf numFmtId="0" fontId="24" fillId="0" borderId="40" xfId="0" applyFont="1" applyBorder="1" applyAlignment="1">
      <alignment horizontal="left" vertical="center" wrapText="1"/>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13" xfId="0" applyFont="1" applyBorder="1" applyAlignment="1">
      <alignment horizontal="center" vertical="center"/>
    </xf>
    <xf numFmtId="0" fontId="25" fillId="2" borderId="12"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13" xfId="0" applyFont="1" applyFill="1" applyBorder="1" applyAlignment="1">
      <alignment horizontal="center" vertical="center"/>
    </xf>
    <xf numFmtId="0" fontId="20" fillId="0" borderId="42"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2" fontId="25" fillId="0" borderId="0" xfId="0" applyNumberFormat="1" applyFont="1" applyAlignment="1">
      <alignment horizontal="right" vertical="center"/>
    </xf>
    <xf numFmtId="0" fontId="0" fillId="0" borderId="0" xfId="0" applyAlignment="1">
      <alignment horizontal="left" vertical="center"/>
    </xf>
    <xf numFmtId="0" fontId="25" fillId="0" borderId="0" xfId="0" applyFont="1" applyAlignment="1">
      <alignment horizontal="right" vertical="center"/>
    </xf>
    <xf numFmtId="2" fontId="25" fillId="0" borderId="0" xfId="0" applyNumberFormat="1" applyFont="1" applyAlignment="1">
      <alignment horizontal="left" vertical="center"/>
    </xf>
    <xf numFmtId="0" fontId="25" fillId="2" borderId="8" xfId="0" applyFont="1" applyFill="1" applyBorder="1" applyAlignment="1">
      <alignment horizontal="center" vertical="center"/>
    </xf>
    <xf numFmtId="0" fontId="27" fillId="0" borderId="0" xfId="0" applyFont="1" applyAlignment="1">
      <alignment horizontal="center" vertical="center" wrapText="1"/>
    </xf>
    <xf numFmtId="0" fontId="26" fillId="4" borderId="8" xfId="0" applyFont="1" applyFill="1" applyBorder="1" applyAlignment="1">
      <alignment horizontal="center" vertical="center"/>
    </xf>
    <xf numFmtId="0" fontId="24" fillId="0" borderId="42"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52" xfId="0" applyFont="1" applyBorder="1" applyAlignment="1">
      <alignment horizontal="center" vertical="center"/>
    </xf>
    <xf numFmtId="0" fontId="24" fillId="0" borderId="91" xfId="0" applyFont="1" applyBorder="1" applyAlignment="1">
      <alignment horizontal="center" vertical="center"/>
    </xf>
    <xf numFmtId="0" fontId="24" fillId="0" borderId="66" xfId="0" applyFont="1" applyBorder="1" applyAlignment="1">
      <alignment horizontal="center" vertical="center"/>
    </xf>
    <xf numFmtId="0" fontId="24" fillId="0" borderId="67" xfId="0" applyFont="1" applyBorder="1" applyAlignment="1">
      <alignment horizontal="center" vertical="center"/>
    </xf>
    <xf numFmtId="2" fontId="24" fillId="0" borderId="68" xfId="0" applyNumberFormat="1" applyFont="1" applyBorder="1" applyAlignment="1">
      <alignment horizontal="center" vertical="center"/>
    </xf>
    <xf numFmtId="2" fontId="24" fillId="0" borderId="69" xfId="0" applyNumberFormat="1" applyFont="1" applyBorder="1" applyAlignment="1">
      <alignment horizontal="center" vertical="center"/>
    </xf>
    <xf numFmtId="0" fontId="24" fillId="0" borderId="66" xfId="0" applyFont="1" applyBorder="1" applyAlignment="1">
      <alignment horizontal="left"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2" fontId="24" fillId="0" borderId="17" xfId="0" applyNumberFormat="1" applyFont="1" applyBorder="1" applyAlignment="1">
      <alignment horizontal="center" vertical="center"/>
    </xf>
    <xf numFmtId="2" fontId="24" fillId="0" borderId="16" xfId="0" applyNumberFormat="1" applyFont="1" applyBorder="1" applyAlignment="1">
      <alignment horizontal="center" vertical="center"/>
    </xf>
    <xf numFmtId="2" fontId="24" fillId="0" borderId="30" xfId="0" applyNumberFormat="1" applyFont="1" applyBorder="1" applyAlignment="1">
      <alignment horizontal="center" vertical="center"/>
    </xf>
    <xf numFmtId="2" fontId="24" fillId="0" borderId="31" xfId="0" applyNumberFormat="1" applyFont="1" applyBorder="1" applyAlignment="1">
      <alignment horizontal="center" vertical="center"/>
    </xf>
    <xf numFmtId="2" fontId="24" fillId="0" borderId="68" xfId="0" applyNumberFormat="1" applyFont="1" applyBorder="1" applyAlignment="1">
      <alignment horizontal="right" vertical="center"/>
    </xf>
    <xf numFmtId="2" fontId="24" fillId="0" borderId="69" xfId="0" applyNumberFormat="1" applyFont="1" applyBorder="1" applyAlignment="1">
      <alignment horizontal="right" vertical="center"/>
    </xf>
    <xf numFmtId="4" fontId="24" fillId="0" borderId="68" xfId="0" applyNumberFormat="1" applyFont="1" applyBorder="1" applyAlignment="1">
      <alignment horizontal="right" vertical="center"/>
    </xf>
    <xf numFmtId="4" fontId="24" fillId="0" borderId="69" xfId="0" applyNumberFormat="1" applyFont="1" applyBorder="1" applyAlignment="1">
      <alignment horizontal="right" vertical="center"/>
    </xf>
    <xf numFmtId="0" fontId="24" fillId="0" borderId="22" xfId="0" applyFont="1" applyBorder="1" applyAlignment="1">
      <alignment horizontal="center" vertical="center"/>
    </xf>
    <xf numFmtId="0" fontId="24" fillId="0" borderId="20" xfId="0" applyFont="1" applyBorder="1" applyAlignment="1">
      <alignment horizontal="center" vertical="center"/>
    </xf>
    <xf numFmtId="0" fontId="24" fillId="0" borderId="23" xfId="0" applyFont="1" applyBorder="1" applyAlignment="1">
      <alignment horizontal="center" vertical="center"/>
    </xf>
    <xf numFmtId="0" fontId="24" fillId="0" borderId="32"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72" xfId="0" applyFont="1" applyBorder="1" applyAlignment="1">
      <alignment horizontal="center" vertical="center"/>
    </xf>
    <xf numFmtId="0" fontId="24" fillId="0" borderId="57" xfId="0" applyFont="1" applyBorder="1" applyAlignment="1">
      <alignment horizontal="center" vertical="center"/>
    </xf>
    <xf numFmtId="0" fontId="24" fillId="0" borderId="59" xfId="0" applyFont="1" applyBorder="1" applyAlignment="1">
      <alignment horizontal="center" vertical="center"/>
    </xf>
    <xf numFmtId="0" fontId="24" fillId="0" borderId="56" xfId="0" applyFont="1" applyBorder="1" applyAlignment="1">
      <alignment horizontal="center" vertical="center"/>
    </xf>
    <xf numFmtId="0" fontId="22" fillId="4" borderId="22"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31" xfId="0" applyFont="1" applyFill="1" applyBorder="1" applyAlignment="1">
      <alignment horizontal="center" vertical="center" wrapText="1"/>
    </xf>
    <xf numFmtId="0" fontId="26" fillId="0" borderId="0" xfId="0" applyFont="1" applyAlignment="1">
      <alignment horizontal="center" vertical="center"/>
    </xf>
    <xf numFmtId="0" fontId="45" fillId="4" borderId="22" xfId="0" applyFont="1" applyFill="1" applyBorder="1" applyAlignment="1">
      <alignment horizontal="center" vertical="center" wrapText="1"/>
    </xf>
    <xf numFmtId="0" fontId="45" fillId="4" borderId="23" xfId="0" applyFont="1" applyFill="1" applyBorder="1" applyAlignment="1">
      <alignment horizontal="center" vertical="center" wrapText="1"/>
    </xf>
    <xf numFmtId="0" fontId="45" fillId="4" borderId="30"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4" fillId="0" borderId="17" xfId="0" applyFont="1" applyBorder="1" applyAlignment="1">
      <alignment horizontal="center" vertical="center"/>
    </xf>
    <xf numFmtId="0" fontId="44" fillId="0" borderId="0" xfId="0" applyFont="1" applyAlignment="1">
      <alignment horizontal="center" vertical="center"/>
    </xf>
    <xf numFmtId="0" fontId="44" fillId="0" borderId="30" xfId="0" applyFont="1" applyBorder="1" applyAlignment="1">
      <alignment horizontal="center" vertical="center"/>
    </xf>
    <xf numFmtId="0" fontId="44" fillId="0" borderId="32" xfId="0" applyFont="1" applyBorder="1" applyAlignment="1">
      <alignment horizontal="center" vertical="center"/>
    </xf>
    <xf numFmtId="0" fontId="24" fillId="0" borderId="45" xfId="0" applyFont="1" applyBorder="1" applyAlignment="1">
      <alignment horizontal="center" vertical="center" wrapText="1"/>
    </xf>
    <xf numFmtId="0" fontId="24" fillId="0" borderId="44" xfId="0" applyFont="1" applyBorder="1" applyAlignment="1">
      <alignment horizontal="center" vertical="center" wrapText="1"/>
    </xf>
    <xf numFmtId="0" fontId="17" fillId="0" borderId="0" xfId="65" applyAlignment="1">
      <alignment horizontal="left" vertical="center" wrapText="1"/>
    </xf>
    <xf numFmtId="0" fontId="45" fillId="4" borderId="20" xfId="0" applyFont="1" applyFill="1" applyBorder="1" applyAlignment="1">
      <alignment horizontal="center" vertical="center" wrapText="1"/>
    </xf>
    <xf numFmtId="0" fontId="45" fillId="4" borderId="32" xfId="0" applyFont="1" applyFill="1" applyBorder="1" applyAlignment="1">
      <alignment horizontal="center" vertical="center" wrapText="1"/>
    </xf>
    <xf numFmtId="0" fontId="24" fillId="0" borderId="0" xfId="10" applyFont="1" applyAlignment="1">
      <alignment horizontal="left" vertical="center" wrapText="1"/>
    </xf>
    <xf numFmtId="0" fontId="66" fillId="13" borderId="18" xfId="180" applyFont="1" applyFill="1" applyBorder="1" applyAlignment="1">
      <alignment horizontal="center" vertical="center" wrapText="1"/>
    </xf>
    <xf numFmtId="0" fontId="66" fillId="13" borderId="7" xfId="180" applyFont="1" applyFill="1" applyBorder="1" applyAlignment="1">
      <alignment horizontal="center" vertical="center" wrapText="1"/>
    </xf>
    <xf numFmtId="0" fontId="66" fillId="13" borderId="8" xfId="180" applyFont="1" applyFill="1" applyBorder="1" applyAlignment="1">
      <alignment horizontal="center" vertical="center" wrapText="1"/>
    </xf>
    <xf numFmtId="0" fontId="20" fillId="6" borderId="18" xfId="10" applyFont="1" applyFill="1" applyBorder="1" applyAlignment="1">
      <alignment horizontal="center" vertical="center"/>
    </xf>
    <xf numFmtId="0" fontId="20" fillId="6" borderId="8" xfId="10" applyFont="1" applyFill="1" applyBorder="1" applyAlignment="1">
      <alignment horizontal="center" vertical="center"/>
    </xf>
    <xf numFmtId="0" fontId="57" fillId="0" borderId="0" xfId="65" applyFont="1" applyAlignment="1">
      <alignment horizontal="center" vertical="center"/>
    </xf>
    <xf numFmtId="0" fontId="17" fillId="0" borderId="17" xfId="65" applyBorder="1" applyAlignment="1">
      <alignment horizontal="center"/>
    </xf>
    <xf numFmtId="0" fontId="17" fillId="0" borderId="0" xfId="65" applyAlignment="1">
      <alignment horizontal="center"/>
    </xf>
    <xf numFmtId="0" fontId="17" fillId="0" borderId="16" xfId="65" applyBorder="1" applyAlignment="1">
      <alignment horizontal="center"/>
    </xf>
    <xf numFmtId="0" fontId="45" fillId="3" borderId="8" xfId="42" applyFont="1" applyFill="1" applyBorder="1" applyAlignment="1">
      <alignment horizontal="center" vertical="center"/>
    </xf>
    <xf numFmtId="0" fontId="45" fillId="0" borderId="12" xfId="42" applyFont="1" applyBorder="1" applyAlignment="1">
      <alignment horizontal="center" vertical="center"/>
    </xf>
    <xf numFmtId="0" fontId="45" fillId="0" borderId="14" xfId="42" applyFont="1" applyBorder="1" applyAlignment="1">
      <alignment horizontal="center" vertical="center"/>
    </xf>
    <xf numFmtId="0" fontId="45" fillId="0" borderId="13" xfId="42" applyFont="1" applyBorder="1" applyAlignment="1">
      <alignment horizontal="center" vertical="center"/>
    </xf>
    <xf numFmtId="10" fontId="27" fillId="0" borderId="22" xfId="36" applyNumberFormat="1" applyFont="1" applyBorder="1" applyAlignment="1">
      <alignment horizontal="center" vertical="center" wrapText="1"/>
    </xf>
    <xf numFmtId="10" fontId="27" fillId="0" borderId="20" xfId="36" applyNumberFormat="1" applyFont="1" applyBorder="1" applyAlignment="1">
      <alignment horizontal="center" vertical="center" wrapText="1"/>
    </xf>
    <xf numFmtId="10" fontId="27" fillId="0" borderId="23" xfId="36" applyNumberFormat="1" applyFont="1" applyBorder="1" applyAlignment="1">
      <alignment horizontal="center" vertical="center" wrapText="1"/>
    </xf>
    <xf numFmtId="0" fontId="57" fillId="0" borderId="0" xfId="65" applyFont="1" applyAlignment="1">
      <alignment horizontal="center"/>
    </xf>
    <xf numFmtId="0" fontId="25" fillId="0" borderId="0" xfId="0" applyFont="1" applyAlignment="1">
      <alignment horizontal="center" vertical="center"/>
    </xf>
    <xf numFmtId="0" fontId="24" fillId="2" borderId="0" xfId="3" applyFont="1" applyFill="1" applyAlignment="1">
      <alignment horizontal="left" vertical="center" wrapText="1"/>
    </xf>
    <xf numFmtId="2" fontId="24" fillId="0" borderId="99" xfId="0" applyNumberFormat="1" applyFont="1" applyBorder="1" applyAlignment="1">
      <alignment horizontal="center" vertical="center"/>
    </xf>
    <xf numFmtId="0" fontId="24" fillId="0" borderId="0" xfId="0" applyFont="1" applyAlignment="1">
      <alignment horizontal="center" vertical="center"/>
    </xf>
    <xf numFmtId="0" fontId="44" fillId="0" borderId="66" xfId="0" applyFont="1" applyBorder="1" applyAlignment="1">
      <alignment horizontal="left" vertical="center"/>
    </xf>
    <xf numFmtId="0" fontId="44" fillId="0" borderId="67" xfId="0" applyFont="1" applyBorder="1" applyAlignment="1">
      <alignment horizontal="left" vertical="center"/>
    </xf>
    <xf numFmtId="0" fontId="44" fillId="0" borderId="16" xfId="0" applyFont="1" applyBorder="1" applyAlignment="1">
      <alignment horizontal="center" vertical="center"/>
    </xf>
    <xf numFmtId="0" fontId="44" fillId="0" borderId="31" xfId="0" applyFont="1" applyBorder="1" applyAlignment="1">
      <alignment horizontal="center" vertical="center"/>
    </xf>
    <xf numFmtId="2" fontId="44" fillId="0" borderId="17" xfId="0" applyNumberFormat="1" applyFont="1" applyBorder="1" applyAlignment="1">
      <alignment horizontal="center" vertical="center"/>
    </xf>
    <xf numFmtId="2" fontId="44" fillId="0" borderId="16" xfId="0" applyNumberFormat="1" applyFont="1" applyBorder="1" applyAlignment="1">
      <alignment horizontal="center" vertical="center"/>
    </xf>
    <xf numFmtId="2" fontId="44" fillId="0" borderId="30" xfId="0" applyNumberFormat="1" applyFont="1" applyBorder="1" applyAlignment="1">
      <alignment horizontal="center" vertical="center"/>
    </xf>
    <xf numFmtId="2" fontId="44" fillId="0" borderId="31" xfId="0" applyNumberFormat="1" applyFont="1" applyBorder="1" applyAlignment="1">
      <alignment horizontal="center" vertical="center"/>
    </xf>
    <xf numFmtId="2" fontId="44" fillId="0" borderId="68" xfId="0" applyNumberFormat="1" applyFont="1" applyBorder="1" applyAlignment="1">
      <alignment horizontal="right" vertical="center"/>
    </xf>
    <xf numFmtId="2" fontId="44" fillId="0" borderId="69" xfId="0" applyNumberFormat="1" applyFont="1" applyBorder="1" applyAlignment="1">
      <alignment horizontal="right" vertical="center"/>
    </xf>
    <xf numFmtId="0" fontId="44" fillId="0" borderId="66" xfId="0" applyFont="1" applyBorder="1" applyAlignment="1">
      <alignment horizontal="center" vertical="center"/>
    </xf>
    <xf numFmtId="0" fontId="44" fillId="0" borderId="67" xfId="0" applyFont="1" applyBorder="1" applyAlignment="1">
      <alignment horizontal="center" vertical="center"/>
    </xf>
    <xf numFmtId="2" fontId="44" fillId="0" borderId="68" xfId="0" applyNumberFormat="1" applyFont="1" applyBorder="1" applyAlignment="1">
      <alignment horizontal="center" vertical="center"/>
    </xf>
    <xf numFmtId="2" fontId="44" fillId="0" borderId="69" xfId="0" applyNumberFormat="1" applyFont="1" applyBorder="1" applyAlignment="1">
      <alignment horizontal="center" vertical="center"/>
    </xf>
    <xf numFmtId="4" fontId="44" fillId="0" borderId="68" xfId="0" applyNumberFormat="1" applyFont="1" applyBorder="1" applyAlignment="1">
      <alignment horizontal="right" vertical="center"/>
    </xf>
    <xf numFmtId="4" fontId="44" fillId="0" borderId="69" xfId="0" applyNumberFormat="1" applyFont="1" applyBorder="1" applyAlignment="1">
      <alignment horizontal="right" vertical="center"/>
    </xf>
    <xf numFmtId="2" fontId="44" fillId="0" borderId="22" xfId="0" applyNumberFormat="1" applyFont="1" applyBorder="1" applyAlignment="1">
      <alignment horizontal="center" vertical="center"/>
    </xf>
    <xf numFmtId="2" fontId="44" fillId="0" borderId="23" xfId="0" applyNumberFormat="1" applyFont="1" applyBorder="1" applyAlignment="1">
      <alignment horizontal="center"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2" fillId="0" borderId="32" xfId="0" applyFont="1" applyBorder="1" applyAlignment="1">
      <alignment horizontal="center" vertical="center"/>
    </xf>
    <xf numFmtId="0" fontId="17" fillId="0" borderId="34"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49" fontId="18" fillId="0" borderId="75" xfId="0" applyNumberFormat="1" applyFont="1" applyBorder="1" applyAlignment="1">
      <alignment horizontal="center" vertical="center"/>
    </xf>
    <xf numFmtId="49" fontId="18" fillId="0" borderId="71" xfId="0" applyNumberFormat="1" applyFont="1" applyBorder="1" applyAlignment="1">
      <alignment horizontal="center" vertical="center"/>
    </xf>
    <xf numFmtId="49" fontId="18" fillId="0" borderId="83" xfId="0" applyNumberFormat="1" applyFont="1" applyBorder="1" applyAlignment="1">
      <alignment horizontal="center" vertical="center"/>
    </xf>
    <xf numFmtId="0" fontId="20" fillId="0" borderId="22" xfId="0" applyFont="1" applyBorder="1" applyAlignment="1">
      <alignment horizontal="left" vertical="center"/>
    </xf>
    <xf numFmtId="0" fontId="20" fillId="0" borderId="20" xfId="0" applyFont="1" applyBorder="1" applyAlignment="1">
      <alignment horizontal="left" vertical="center"/>
    </xf>
    <xf numFmtId="0" fontId="20" fillId="0" borderId="35" xfId="0" applyFont="1" applyBorder="1" applyAlignment="1">
      <alignment horizontal="left" vertical="center"/>
    </xf>
    <xf numFmtId="0" fontId="20" fillId="0" borderId="73" xfId="0" applyFont="1" applyBorder="1" applyAlignment="1">
      <alignment horizontal="left" vertical="center"/>
    </xf>
    <xf numFmtId="0" fontId="20" fillId="0" borderId="74" xfId="0" applyFont="1" applyBorder="1" applyAlignment="1">
      <alignment horizontal="left" vertical="center"/>
    </xf>
    <xf numFmtId="49" fontId="17" fillId="0" borderId="75" xfId="0" applyNumberFormat="1" applyFont="1" applyBorder="1" applyAlignment="1">
      <alignment horizontal="center" vertical="center"/>
    </xf>
    <xf numFmtId="49" fontId="17" fillId="0" borderId="76" xfId="0" applyNumberFormat="1" applyFont="1" applyBorder="1" applyAlignment="1">
      <alignment horizontal="center" vertical="center"/>
    </xf>
    <xf numFmtId="49" fontId="0" fillId="0" borderId="77" xfId="0" applyNumberFormat="1" applyBorder="1" applyAlignment="1">
      <alignment horizontal="center" vertical="center"/>
    </xf>
    <xf numFmtId="0" fontId="20"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8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0" xfId="0" applyFont="1" applyBorder="1" applyAlignment="1">
      <alignment horizontal="center" vertical="center" wrapText="1"/>
    </xf>
    <xf numFmtId="49" fontId="18" fillId="0" borderId="76" xfId="0" applyNumberFormat="1" applyFont="1" applyBorder="1" applyAlignment="1">
      <alignment horizontal="center" vertical="center"/>
    </xf>
    <xf numFmtId="49" fontId="18" fillId="0" borderId="77" xfId="0" applyNumberFormat="1" applyFont="1" applyBorder="1" applyAlignment="1">
      <alignment horizontal="center" vertical="center"/>
    </xf>
    <xf numFmtId="49" fontId="18" fillId="0" borderId="78" xfId="0" applyNumberFormat="1" applyFont="1" applyBorder="1" applyAlignment="1">
      <alignment horizontal="center" vertical="center"/>
    </xf>
    <xf numFmtId="0" fontId="27" fillId="0" borderId="0" xfId="0" applyFont="1" applyAlignment="1">
      <alignment horizontal="left" vertical="center" wrapText="1"/>
    </xf>
    <xf numFmtId="0" fontId="25" fillId="0" borderId="14" xfId="0" applyFont="1" applyBorder="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4" borderId="12"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3" xfId="0" applyFont="1" applyFill="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25" fillId="0" borderId="12" xfId="0" applyFont="1" applyBorder="1" applyAlignment="1">
      <alignment horizontal="left" vertical="center" wrapText="1"/>
    </xf>
    <xf numFmtId="0" fontId="25" fillId="0" borderId="14" xfId="0" applyFont="1" applyBorder="1" applyAlignment="1">
      <alignment horizontal="left" vertical="center" wrapText="1"/>
    </xf>
    <xf numFmtId="0" fontId="25" fillId="0" borderId="13" xfId="0" applyFont="1" applyBorder="1" applyAlignment="1">
      <alignment horizontal="left" vertical="center" wrapText="1"/>
    </xf>
    <xf numFmtId="0" fontId="24" fillId="0" borderId="18" xfId="0" applyFont="1" applyBorder="1" applyAlignment="1">
      <alignment horizontal="center" vertical="center"/>
    </xf>
    <xf numFmtId="0" fontId="24" fillId="0" borderId="15" xfId="0" applyFont="1" applyBorder="1" applyAlignment="1">
      <alignment horizontal="center" vertical="center"/>
    </xf>
    <xf numFmtId="4" fontId="24" fillId="0" borderId="12" xfId="0" applyNumberFormat="1" applyFont="1" applyBorder="1" applyAlignment="1">
      <alignment horizontal="right" vertical="center"/>
    </xf>
    <xf numFmtId="4" fontId="24" fillId="0" borderId="65" xfId="0" applyNumberFormat="1" applyFont="1" applyBorder="1" applyAlignment="1">
      <alignment horizontal="right" vertical="center"/>
    </xf>
    <xf numFmtId="0" fontId="22" fillId="4" borderId="8" xfId="0" applyFont="1" applyFill="1" applyBorder="1" applyAlignment="1">
      <alignment horizontal="center" vertical="center" wrapText="1"/>
    </xf>
    <xf numFmtId="0" fontId="48" fillId="4" borderId="8" xfId="0" applyFont="1" applyFill="1" applyBorder="1" applyAlignment="1">
      <alignment horizontal="center" vertical="center" wrapText="1"/>
    </xf>
    <xf numFmtId="0" fontId="48" fillId="4" borderId="18" xfId="0" applyFont="1" applyFill="1" applyBorder="1" applyAlignment="1">
      <alignment horizontal="center" vertical="center" wrapText="1"/>
    </xf>
    <xf numFmtId="0" fontId="48" fillId="4" borderId="7" xfId="0" applyFont="1" applyFill="1" applyBorder="1" applyAlignment="1">
      <alignment horizontal="center" vertical="center" wrapText="1"/>
    </xf>
    <xf numFmtId="0" fontId="22" fillId="4" borderId="22"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23" xfId="0" applyFont="1" applyFill="1" applyBorder="1" applyAlignment="1">
      <alignment horizontal="center" vertical="center"/>
    </xf>
    <xf numFmtId="0" fontId="22" fillId="4" borderId="30"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1" xfId="0" applyFont="1" applyFill="1" applyBorder="1" applyAlignment="1">
      <alignment horizontal="center" vertical="center"/>
    </xf>
    <xf numFmtId="0" fontId="0" fillId="0" borderId="8" xfId="0" applyBorder="1" applyAlignment="1">
      <alignment horizontal="center" vertical="center"/>
    </xf>
    <xf numFmtId="0" fontId="0" fillId="2" borderId="8" xfId="0" applyFill="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0" fontId="17" fillId="0" borderId="0" xfId="0" applyFont="1" applyAlignment="1">
      <alignment horizontal="center" vertical="center" wrapText="1"/>
    </xf>
    <xf numFmtId="0" fontId="25" fillId="0" borderId="8" xfId="0" applyFont="1" applyBorder="1" applyAlignment="1">
      <alignment horizontal="right" vertical="center"/>
    </xf>
    <xf numFmtId="0" fontId="25" fillId="0" borderId="57" xfId="0" applyFont="1" applyBorder="1" applyAlignment="1">
      <alignment horizontal="right" vertical="center"/>
    </xf>
    <xf numFmtId="2" fontId="25" fillId="0" borderId="14" xfId="0" applyNumberFormat="1" applyFont="1" applyBorder="1" applyAlignment="1">
      <alignment horizontal="left" vertical="center"/>
    </xf>
    <xf numFmtId="2" fontId="25" fillId="0" borderId="13" xfId="0" applyNumberFormat="1" applyFont="1" applyBorder="1" applyAlignment="1">
      <alignment horizontal="left" vertical="center"/>
    </xf>
    <xf numFmtId="2" fontId="25" fillId="0" borderId="8" xfId="0" applyNumberFormat="1" applyFont="1" applyBorder="1" applyAlignment="1">
      <alignment horizontal="right" vertical="center"/>
    </xf>
    <xf numFmtId="2" fontId="25" fillId="0" borderId="57" xfId="0" applyNumberFormat="1" applyFont="1" applyBorder="1" applyAlignment="1">
      <alignment horizontal="right" vertical="center"/>
    </xf>
    <xf numFmtId="0" fontId="0" fillId="0" borderId="58" xfId="0" applyBorder="1" applyAlignment="1">
      <alignment horizontal="left" vertical="center"/>
    </xf>
    <xf numFmtId="0" fontId="0" fillId="0" borderId="13" xfId="0" applyBorder="1" applyAlignment="1">
      <alignment horizontal="left" vertical="center"/>
    </xf>
    <xf numFmtId="0" fontId="25" fillId="0" borderId="58" xfId="0" applyFont="1" applyBorder="1" applyAlignment="1">
      <alignment horizontal="center" vertical="center"/>
    </xf>
    <xf numFmtId="0" fontId="25" fillId="0" borderId="65" xfId="0" applyFont="1" applyBorder="1" applyAlignment="1">
      <alignment horizontal="center" vertical="center"/>
    </xf>
    <xf numFmtId="0" fontId="66" fillId="3" borderId="8" xfId="180" applyFont="1" applyFill="1" applyBorder="1" applyAlignment="1">
      <alignment horizontal="center" vertical="center"/>
    </xf>
    <xf numFmtId="0" fontId="57" fillId="6" borderId="8" xfId="177" applyFont="1" applyFill="1" applyBorder="1" applyAlignment="1">
      <alignment horizontal="center"/>
    </xf>
    <xf numFmtId="0" fontId="20" fillId="0" borderId="22" xfId="177" applyFont="1" applyBorder="1" applyAlignment="1">
      <alignment horizontal="center"/>
    </xf>
    <xf numFmtId="0" fontId="20" fillId="0" borderId="20" xfId="177" applyFont="1" applyBorder="1" applyAlignment="1">
      <alignment horizontal="center"/>
    </xf>
    <xf numFmtId="0" fontId="20" fillId="0" borderId="23" xfId="177" applyFont="1" applyBorder="1" applyAlignment="1">
      <alignment horizontal="center"/>
    </xf>
    <xf numFmtId="0" fontId="17" fillId="0" borderId="0" xfId="177" applyAlignment="1">
      <alignment horizontal="left" vertical="center" wrapText="1"/>
    </xf>
    <xf numFmtId="0" fontId="45" fillId="13" borderId="18" xfId="42" applyFont="1" applyFill="1" applyBorder="1" applyAlignment="1">
      <alignment horizontal="center" vertical="center" wrapText="1"/>
    </xf>
    <xf numFmtId="0" fontId="45" fillId="13" borderId="7" xfId="42" applyFont="1" applyFill="1" applyBorder="1" applyAlignment="1">
      <alignment horizontal="center" vertical="center" wrapText="1"/>
    </xf>
    <xf numFmtId="0" fontId="45" fillId="13" borderId="8" xfId="42" applyFont="1" applyFill="1" applyBorder="1" applyAlignment="1">
      <alignment horizontal="center" vertical="center"/>
    </xf>
    <xf numFmtId="0" fontId="45" fillId="3" borderId="12" xfId="42" applyFont="1" applyFill="1" applyBorder="1" applyAlignment="1">
      <alignment horizontal="center" vertical="center"/>
    </xf>
    <xf numFmtId="0" fontId="45" fillId="3" borderId="14" xfId="42" applyFont="1" applyFill="1" applyBorder="1" applyAlignment="1">
      <alignment horizontal="center" vertical="center"/>
    </xf>
    <xf numFmtId="0" fontId="45" fillId="3" borderId="13" xfId="42" applyFont="1" applyFill="1" applyBorder="1" applyAlignment="1">
      <alignment horizontal="center" vertical="center"/>
    </xf>
    <xf numFmtId="0" fontId="45" fillId="13" borderId="8" xfId="42" applyFont="1" applyFill="1" applyBorder="1" applyAlignment="1">
      <alignment horizontal="center" vertical="center" wrapText="1"/>
    </xf>
    <xf numFmtId="2" fontId="17" fillId="0" borderId="0" xfId="0" applyNumberFormat="1" applyFont="1" applyAlignment="1">
      <alignment horizontal="left" vertical="center"/>
    </xf>
    <xf numFmtId="2" fontId="17" fillId="0" borderId="16" xfId="0" applyNumberFormat="1" applyFont="1" applyBorder="1" applyAlignment="1">
      <alignment horizontal="left" vertical="center"/>
    </xf>
    <xf numFmtId="0" fontId="22" fillId="4" borderId="17"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16" xfId="0" applyFont="1" applyFill="1" applyBorder="1" applyAlignment="1">
      <alignment horizontal="center" vertical="center" wrapText="1"/>
    </xf>
    <xf numFmtId="168" fontId="116" fillId="0" borderId="114" xfId="0" applyNumberFormat="1" applyFont="1" applyBorder="1" applyAlignment="1">
      <alignment horizontal="center" vertical="center"/>
    </xf>
    <xf numFmtId="168" fontId="116" fillId="0" borderId="7" xfId="0" applyNumberFormat="1" applyFont="1" applyBorder="1" applyAlignment="1">
      <alignment horizontal="center" vertical="center"/>
    </xf>
    <xf numFmtId="0" fontId="116" fillId="0" borderId="18" xfId="0" applyFont="1" applyBorder="1" applyAlignment="1">
      <alignment horizontal="left" vertical="center" wrapText="1"/>
    </xf>
    <xf numFmtId="0" fontId="116" fillId="0" borderId="7" xfId="0" applyFont="1" applyBorder="1" applyAlignment="1">
      <alignment horizontal="left" vertical="center" wrapText="1"/>
    </xf>
    <xf numFmtId="0" fontId="116" fillId="0" borderId="18" xfId="0" applyFont="1" applyBorder="1" applyAlignment="1">
      <alignment horizontal="center" vertical="center"/>
    </xf>
    <xf numFmtId="0" fontId="116" fillId="0" borderId="7" xfId="0" applyFont="1" applyBorder="1" applyAlignment="1">
      <alignment horizontal="center" vertical="center"/>
    </xf>
    <xf numFmtId="0" fontId="116" fillId="0" borderId="8" xfId="0" applyFont="1" applyBorder="1" applyAlignment="1">
      <alignment horizontal="center" vertical="center"/>
    </xf>
    <xf numFmtId="0" fontId="63" fillId="0" borderId="8" xfId="0" applyFont="1" applyBorder="1" applyAlignment="1">
      <alignment horizontal="center" vertical="center"/>
    </xf>
    <xf numFmtId="0" fontId="116" fillId="0" borderId="117" xfId="0" applyFont="1" applyBorder="1" applyAlignment="1">
      <alignment horizontal="center" vertical="center"/>
    </xf>
    <xf numFmtId="0" fontId="116" fillId="0" borderId="32" xfId="0" applyFont="1" applyBorder="1" applyAlignment="1">
      <alignment horizontal="center" vertical="center"/>
    </xf>
    <xf numFmtId="0" fontId="116" fillId="0" borderId="18" xfId="0" applyFont="1" applyBorder="1" applyAlignment="1">
      <alignment horizontal="left" vertical="center"/>
    </xf>
    <xf numFmtId="0" fontId="116" fillId="0" borderId="7" xfId="0" applyFont="1" applyBorder="1" applyAlignment="1">
      <alignment horizontal="left" vertical="center"/>
    </xf>
    <xf numFmtId="0" fontId="63" fillId="0" borderId="112"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2" xfId="0" applyFont="1" applyBorder="1" applyAlignment="1">
      <alignment horizontal="left" vertical="center"/>
    </xf>
    <xf numFmtId="0" fontId="63" fillId="0" borderId="110" xfId="0" applyFont="1" applyBorder="1" applyAlignment="1">
      <alignment horizontal="left" vertical="center"/>
    </xf>
    <xf numFmtId="0" fontId="63" fillId="0" borderId="111" xfId="0" applyFont="1" applyBorder="1" applyAlignment="1">
      <alignment horizontal="left" vertical="center"/>
    </xf>
    <xf numFmtId="0" fontId="116" fillId="0" borderId="114" xfId="0" applyFont="1" applyBorder="1" applyAlignment="1">
      <alignment horizontal="left" vertical="center" wrapText="1"/>
    </xf>
    <xf numFmtId="0" fontId="116" fillId="0" borderId="113" xfId="0" applyFont="1" applyBorder="1" applyAlignment="1">
      <alignment horizontal="center" vertical="center"/>
    </xf>
    <xf numFmtId="10" fontId="63" fillId="0" borderId="114" xfId="185" applyNumberFormat="1" applyFont="1" applyBorder="1" applyAlignment="1">
      <alignment horizontal="center" vertical="center"/>
    </xf>
    <xf numFmtId="10" fontId="63" fillId="0" borderId="7" xfId="185" applyNumberFormat="1" applyFont="1" applyBorder="1" applyAlignment="1">
      <alignment horizontal="center" vertical="center"/>
    </xf>
    <xf numFmtId="0" fontId="34" fillId="0" borderId="0" xfId="7" applyFont="1" applyBorder="1" applyAlignment="1">
      <alignment horizontal="left"/>
    </xf>
    <xf numFmtId="49" fontId="34" fillId="7" borderId="7" xfId="7" applyNumberFormat="1" applyFont="1" applyFill="1" applyBorder="1" applyAlignment="1">
      <alignment horizontal="center" vertical="top"/>
    </xf>
    <xf numFmtId="0" fontId="34" fillId="7" borderId="0" xfId="7" applyFont="1" applyFill="1" applyBorder="1" applyAlignment="1">
      <alignment horizontal="center"/>
    </xf>
    <xf numFmtId="0" fontId="26" fillId="2" borderId="17" xfId="7" applyFont="1" applyFill="1" applyBorder="1" applyAlignment="1">
      <alignment horizontal="left" vertical="center" wrapText="1"/>
    </xf>
    <xf numFmtId="0" fontId="26" fillId="2" borderId="0" xfId="7" applyFont="1" applyFill="1" applyBorder="1" applyAlignment="1">
      <alignment horizontal="left" vertical="center" wrapText="1"/>
    </xf>
    <xf numFmtId="0" fontId="34" fillId="0" borderId="32" xfId="7" applyFont="1" applyBorder="1" applyAlignment="1">
      <alignment horizontal="center"/>
    </xf>
    <xf numFmtId="0" fontId="34" fillId="0" borderId="32" xfId="7" applyFont="1" applyFill="1" applyBorder="1" applyAlignment="1">
      <alignment horizontal="center"/>
    </xf>
    <xf numFmtId="49" fontId="34" fillId="7" borderId="127" xfId="7" applyNumberFormat="1" applyFont="1" applyFill="1" applyBorder="1" applyAlignment="1">
      <alignment horizontal="center" vertical="top"/>
    </xf>
    <xf numFmtId="0" fontId="30" fillId="0" borderId="126" xfId="7" applyFont="1" applyBorder="1" applyAlignment="1">
      <alignment horizontal="right"/>
    </xf>
    <xf numFmtId="0" fontId="34" fillId="6" borderId="112" xfId="11" applyFont="1" applyFill="1" applyBorder="1" applyAlignment="1">
      <alignment horizontal="center" vertical="center"/>
    </xf>
    <xf numFmtId="0" fontId="34" fillId="6" borderId="111" xfId="11" applyFont="1" applyFill="1" applyBorder="1" applyAlignment="1">
      <alignment horizontal="center" vertical="center"/>
    </xf>
    <xf numFmtId="0" fontId="34" fillId="0" borderId="113" xfId="7" applyFont="1" applyFill="1" applyBorder="1" applyAlignment="1">
      <alignment horizontal="center" vertical="center"/>
    </xf>
    <xf numFmtId="0" fontId="34" fillId="7" borderId="0" xfId="7" applyFont="1" applyFill="1" applyBorder="1" applyAlignment="1">
      <alignment horizontal="left"/>
    </xf>
    <xf numFmtId="0" fontId="34" fillId="4" borderId="114" xfId="11" applyFont="1" applyFill="1" applyBorder="1" applyAlignment="1">
      <alignment horizontal="center" vertical="center"/>
    </xf>
    <xf numFmtId="0" fontId="34" fillId="4" borderId="15" xfId="11" applyFont="1" applyFill="1" applyBorder="1" applyAlignment="1">
      <alignment horizontal="center" vertical="center"/>
    </xf>
    <xf numFmtId="0" fontId="34" fillId="4" borderId="7" xfId="11" applyFont="1" applyFill="1" applyBorder="1" applyAlignment="1">
      <alignment horizontal="center" vertical="center"/>
    </xf>
    <xf numFmtId="49" fontId="30" fillId="7" borderId="114" xfId="7" applyNumberFormat="1" applyFont="1" applyFill="1" applyBorder="1" applyAlignment="1">
      <alignment horizontal="center" vertical="center"/>
    </xf>
    <xf numFmtId="49" fontId="34" fillId="7" borderId="15" xfId="7" applyNumberFormat="1" applyFont="1" applyFill="1" applyBorder="1" applyAlignment="1">
      <alignment horizontal="center"/>
    </xf>
    <xf numFmtId="0" fontId="30" fillId="0" borderId="0" xfId="7" applyFont="1" applyAlignment="1">
      <alignment horizontal="center"/>
    </xf>
    <xf numFmtId="0" fontId="34" fillId="7" borderId="113" xfId="7" applyFont="1" applyFill="1" applyBorder="1" applyAlignment="1">
      <alignment horizontal="center" vertical="center"/>
    </xf>
    <xf numFmtId="0" fontId="21" fillId="0" borderId="0" xfId="7" applyFont="1" applyBorder="1" applyAlignment="1">
      <alignment horizontal="center" vertical="center"/>
    </xf>
    <xf numFmtId="0" fontId="32" fillId="7" borderId="0" xfId="7" applyFont="1" applyFill="1" applyBorder="1" applyAlignment="1">
      <alignment horizontal="center" vertical="center"/>
    </xf>
    <xf numFmtId="0" fontId="63" fillId="0" borderId="123" xfId="3" applyFont="1" applyBorder="1" applyAlignment="1">
      <alignment horizontal="right" vertical="center"/>
    </xf>
    <xf numFmtId="0" fontId="116" fillId="11" borderId="125" xfId="90" applyFont="1" applyFill="1" applyBorder="1" applyAlignment="1">
      <alignment horizontal="center" vertical="center"/>
    </xf>
    <xf numFmtId="168" fontId="63" fillId="0" borderId="113" xfId="3" applyNumberFormat="1" applyFont="1" applyBorder="1" applyAlignment="1">
      <alignment horizontal="center" vertical="center" wrapText="1"/>
    </xf>
    <xf numFmtId="0" fontId="63" fillId="0" borderId="113" xfId="3" applyFont="1" applyBorder="1" applyAlignment="1">
      <alignment horizontal="center" vertical="center" wrapText="1"/>
    </xf>
    <xf numFmtId="0" fontId="25" fillId="0" borderId="112" xfId="0" applyFont="1" applyBorder="1" applyAlignment="1">
      <alignment horizontal="center" vertical="center" wrapText="1"/>
    </xf>
    <xf numFmtId="0" fontId="25" fillId="0" borderId="110" xfId="0" applyFont="1" applyBorder="1" applyAlignment="1">
      <alignment horizontal="center" vertical="center" wrapText="1"/>
    </xf>
    <xf numFmtId="0" fontId="25" fillId="0" borderId="111" xfId="0" applyFont="1" applyBorder="1" applyAlignment="1">
      <alignment horizontal="center" vertical="center" wrapText="1"/>
    </xf>
    <xf numFmtId="0" fontId="26" fillId="13" borderId="112" xfId="0" applyFont="1" applyFill="1" applyBorder="1" applyAlignment="1">
      <alignment horizontal="center" vertical="center"/>
    </xf>
    <xf numFmtId="0" fontId="26" fillId="13" borderId="110" xfId="0" applyFont="1" applyFill="1" applyBorder="1" applyAlignment="1">
      <alignment horizontal="center" vertical="center"/>
    </xf>
    <xf numFmtId="0" fontId="26" fillId="13" borderId="111" xfId="0" applyFont="1" applyFill="1" applyBorder="1" applyAlignment="1">
      <alignment horizontal="center" vertical="center"/>
    </xf>
    <xf numFmtId="0" fontId="26" fillId="0" borderId="112" xfId="0" applyFont="1" applyBorder="1" applyAlignment="1">
      <alignment horizontal="center" vertic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25" fillId="0" borderId="112" xfId="0" applyFont="1" applyBorder="1" applyAlignment="1">
      <alignment horizontal="left" vertical="center" wrapText="1"/>
    </xf>
    <xf numFmtId="0" fontId="25" fillId="0" borderId="110" xfId="0" applyFont="1" applyBorder="1" applyAlignment="1">
      <alignment horizontal="left" vertical="center" wrapText="1"/>
    </xf>
    <xf numFmtId="0" fontId="25" fillId="0" borderId="111" xfId="0" applyFont="1" applyBorder="1" applyAlignment="1">
      <alignment horizontal="left" vertical="center" wrapText="1"/>
    </xf>
    <xf numFmtId="0" fontId="20" fillId="0" borderId="46" xfId="0" applyFont="1" applyBorder="1" applyAlignment="1">
      <alignment horizontal="left" vertical="center"/>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17" fillId="2" borderId="42" xfId="0" applyFont="1" applyFill="1" applyBorder="1" applyAlignment="1">
      <alignment horizontal="left" vertical="center"/>
    </xf>
    <xf numFmtId="0" fontId="17" fillId="2" borderId="39" xfId="0" applyFont="1" applyFill="1" applyBorder="1" applyAlignment="1">
      <alignment horizontal="left" vertical="center"/>
    </xf>
    <xf numFmtId="0" fontId="17" fillId="0" borderId="0" xfId="0" applyFont="1" applyAlignment="1">
      <alignment horizontal="left" vertical="center" wrapText="1"/>
    </xf>
    <xf numFmtId="0" fontId="20" fillId="0" borderId="0" xfId="0" applyFont="1" applyAlignment="1">
      <alignment horizontal="left" vertical="center" wrapText="1"/>
    </xf>
    <xf numFmtId="0" fontId="17" fillId="0" borderId="0" xfId="0" applyFont="1" applyAlignment="1">
      <alignment horizontal="left" vertical="center"/>
    </xf>
    <xf numFmtId="0" fontId="26" fillId="13" borderId="113" xfId="0" applyFont="1" applyFill="1" applyBorder="1" applyAlignment="1">
      <alignment horizontal="center" vertical="center"/>
    </xf>
    <xf numFmtId="0" fontId="26" fillId="0" borderId="113" xfId="0" applyFont="1" applyBorder="1" applyAlignment="1">
      <alignment horizontal="center" vertical="center"/>
    </xf>
    <xf numFmtId="0" fontId="20" fillId="0" borderId="45" xfId="0" applyFont="1" applyBorder="1" applyAlignment="1">
      <alignment horizontal="left" vertical="center" wrapText="1"/>
    </xf>
    <xf numFmtId="0" fontId="17" fillId="0" borderId="0" xfId="0" applyFont="1" applyAlignment="1">
      <alignment vertical="center"/>
    </xf>
    <xf numFmtId="0" fontId="17" fillId="0" borderId="0" xfId="0" applyFont="1" applyAlignment="1">
      <alignment vertical="center" wrapText="1"/>
    </xf>
    <xf numFmtId="0" fontId="17" fillId="0" borderId="75" xfId="0" applyFont="1" applyBorder="1" applyAlignment="1">
      <alignment horizontal="center" vertical="center"/>
    </xf>
    <xf numFmtId="0" fontId="17" fillId="0" borderId="71" xfId="0" applyFont="1" applyBorder="1" applyAlignment="1">
      <alignment horizontal="center" vertical="center"/>
    </xf>
    <xf numFmtId="49" fontId="17" fillId="0" borderId="77" xfId="0" applyNumberFormat="1" applyFont="1" applyBorder="1" applyAlignment="1">
      <alignment horizontal="center" vertical="center"/>
    </xf>
    <xf numFmtId="0" fontId="17" fillId="0" borderId="119" xfId="0" applyFont="1" applyBorder="1" applyAlignment="1">
      <alignment horizontal="left" vertical="center"/>
    </xf>
    <xf numFmtId="0" fontId="17" fillId="0" borderId="120" xfId="0" applyFont="1" applyBorder="1" applyAlignment="1">
      <alignment horizontal="left" vertical="center"/>
    </xf>
    <xf numFmtId="0" fontId="109" fillId="0" borderId="112" xfId="186" applyFont="1" applyBorder="1" applyAlignment="1">
      <alignment horizontal="left" vertical="center"/>
    </xf>
    <xf numFmtId="0" fontId="109" fillId="0" borderId="110" xfId="186" applyFont="1" applyBorder="1" applyAlignment="1">
      <alignment horizontal="left" vertical="center"/>
    </xf>
    <xf numFmtId="0" fontId="109" fillId="0" borderId="111" xfId="186" applyFont="1" applyBorder="1" applyAlignment="1">
      <alignment horizontal="left" vertical="center"/>
    </xf>
    <xf numFmtId="0" fontId="21" fillId="0" borderId="42"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53" xfId="0" applyFont="1" applyBorder="1" applyAlignment="1">
      <alignment horizontal="center" vertical="center" wrapText="1"/>
    </xf>
    <xf numFmtId="2" fontId="17" fillId="0" borderId="0" xfId="0" applyNumberFormat="1" applyFont="1" applyAlignment="1">
      <alignment horizontal="left" vertical="center" wrapText="1"/>
    </xf>
    <xf numFmtId="0" fontId="21" fillId="0" borderId="4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0" xfId="0" applyFont="1" applyAlignment="1">
      <alignment horizontal="right" vertical="center"/>
    </xf>
    <xf numFmtId="0" fontId="17" fillId="0" borderId="0" xfId="0" applyFont="1" applyAlignment="1">
      <alignment horizontal="right" vertical="center" wrapText="1"/>
    </xf>
    <xf numFmtId="0" fontId="17" fillId="0" borderId="45" xfId="0" applyFont="1" applyBorder="1" applyAlignment="1">
      <alignment horizontal="left" vertical="center" wrapText="1"/>
    </xf>
    <xf numFmtId="0" fontId="20" fillId="13" borderId="0" xfId="0" applyFont="1" applyFill="1" applyAlignment="1">
      <alignment horizontal="left" vertical="center" wrapText="1"/>
    </xf>
    <xf numFmtId="0" fontId="20" fillId="13" borderId="0" xfId="0" applyFont="1" applyFill="1" applyAlignment="1">
      <alignment horizontal="left" vertical="center"/>
    </xf>
    <xf numFmtId="0" fontId="17" fillId="0" borderId="0" xfId="0" applyFont="1" applyAlignment="1">
      <alignment horizontal="center" vertical="center"/>
    </xf>
    <xf numFmtId="0" fontId="20" fillId="0" borderId="45" xfId="0" applyFont="1" applyBorder="1" applyAlignment="1">
      <alignment horizontal="center" vertical="center"/>
    </xf>
    <xf numFmtId="0" fontId="20" fillId="0" borderId="0" xfId="0" applyFont="1" applyAlignment="1">
      <alignment horizontal="center" vertical="center"/>
    </xf>
    <xf numFmtId="0" fontId="25" fillId="0" borderId="30" xfId="0" applyFont="1" applyBorder="1" applyAlignment="1">
      <alignment horizontal="left" vertical="center" wrapText="1"/>
    </xf>
    <xf numFmtId="0" fontId="25" fillId="0" borderId="32" xfId="0" applyFont="1" applyBorder="1" applyAlignment="1">
      <alignment horizontal="left" vertical="center" wrapText="1"/>
    </xf>
    <xf numFmtId="0" fontId="25" fillId="0" borderId="31" xfId="0" applyFont="1" applyBorder="1" applyAlignment="1">
      <alignment horizontal="left" vertical="center" wrapText="1"/>
    </xf>
    <xf numFmtId="0" fontId="22" fillId="0" borderId="0" xfId="0" applyFont="1" applyAlignment="1">
      <alignment horizontal="left" vertical="center"/>
    </xf>
    <xf numFmtId="0" fontId="110" fillId="0" borderId="18" xfId="186" applyFont="1" applyBorder="1" applyAlignment="1">
      <alignment horizontal="center" vertical="center"/>
    </xf>
    <xf numFmtId="0" fontId="110" fillId="0" borderId="7" xfId="186" applyFont="1" applyBorder="1" applyAlignment="1">
      <alignment horizontal="center" vertical="center"/>
    </xf>
    <xf numFmtId="0" fontId="109" fillId="0" borderId="112" xfId="186" applyFont="1" applyBorder="1" applyAlignment="1">
      <alignment horizontal="left" vertical="center" wrapText="1"/>
    </xf>
    <xf numFmtId="0" fontId="109" fillId="0" borderId="110" xfId="186" applyFont="1" applyBorder="1" applyAlignment="1">
      <alignment horizontal="left" vertical="center" wrapText="1"/>
    </xf>
    <xf numFmtId="0" fontId="109" fillId="0" borderId="111" xfId="186" applyFont="1" applyBorder="1" applyAlignment="1">
      <alignment horizontal="left" vertical="center" wrapText="1"/>
    </xf>
    <xf numFmtId="0" fontId="110" fillId="0" borderId="116" xfId="186" applyFont="1" applyBorder="1" applyAlignment="1">
      <alignment horizontal="center" vertical="center"/>
    </xf>
    <xf numFmtId="0" fontId="110" fillId="0" borderId="117" xfId="186" applyFont="1" applyBorder="1" applyAlignment="1">
      <alignment horizontal="center" vertical="center"/>
    </xf>
    <xf numFmtId="0" fontId="110" fillId="0" borderId="115" xfId="186" applyFont="1" applyBorder="1" applyAlignment="1">
      <alignment horizontal="center" vertical="center"/>
    </xf>
    <xf numFmtId="0" fontId="110" fillId="0" borderId="30" xfId="186" applyFont="1" applyBorder="1" applyAlignment="1">
      <alignment horizontal="center" vertical="center"/>
    </xf>
    <xf numFmtId="0" fontId="110" fillId="0" borderId="32" xfId="186" applyFont="1" applyBorder="1" applyAlignment="1">
      <alignment horizontal="center" vertical="center"/>
    </xf>
    <xf numFmtId="0" fontId="110" fillId="0" borderId="31" xfId="186" applyFont="1" applyBorder="1" applyAlignment="1">
      <alignment horizontal="center" vertical="center"/>
    </xf>
    <xf numFmtId="0" fontId="59" fillId="13" borderId="18" xfId="42" applyFont="1" applyFill="1" applyBorder="1" applyAlignment="1">
      <alignment horizontal="center" vertical="center" wrapText="1"/>
    </xf>
    <xf numFmtId="0" fontId="59" fillId="13" borderId="7" xfId="42" applyFont="1" applyFill="1" applyBorder="1" applyAlignment="1">
      <alignment horizontal="center" vertical="center" wrapText="1"/>
    </xf>
    <xf numFmtId="0" fontId="59" fillId="3" borderId="10" xfId="42" applyFont="1" applyFill="1" applyBorder="1" applyAlignment="1">
      <alignment horizontal="center" vertical="center"/>
    </xf>
    <xf numFmtId="0" fontId="59" fillId="3" borderId="8" xfId="42" applyFont="1" applyFill="1" applyBorder="1" applyAlignment="1">
      <alignment horizontal="center" vertical="center"/>
    </xf>
    <xf numFmtId="0" fontId="54" fillId="3" borderId="8" xfId="184" applyFont="1" applyFill="1" applyBorder="1" applyAlignment="1">
      <alignment horizontal="center" vertical="center"/>
    </xf>
    <xf numFmtId="0" fontId="54" fillId="3" borderId="9" xfId="184" applyFont="1" applyFill="1" applyBorder="1" applyAlignment="1">
      <alignment horizontal="center" vertical="center"/>
    </xf>
    <xf numFmtId="0" fontId="59" fillId="13" borderId="8" xfId="42" applyFont="1" applyFill="1" applyBorder="1" applyAlignment="1">
      <alignment horizontal="center" vertical="center"/>
    </xf>
    <xf numFmtId="0" fontId="59" fillId="3" borderId="12" xfId="42" applyFont="1" applyFill="1" applyBorder="1" applyAlignment="1">
      <alignment horizontal="center" vertical="center"/>
    </xf>
    <xf numFmtId="0" fontId="59" fillId="3" borderId="14" xfId="42" applyFont="1" applyFill="1" applyBorder="1" applyAlignment="1">
      <alignment horizontal="center" vertical="center"/>
    </xf>
    <xf numFmtId="0" fontId="59" fillId="3" borderId="13" xfId="42" applyFont="1" applyFill="1" applyBorder="1" applyAlignment="1">
      <alignment horizontal="center" vertical="center"/>
    </xf>
    <xf numFmtId="0" fontId="59" fillId="13" borderId="8" xfId="42" applyFont="1" applyFill="1" applyBorder="1" applyAlignment="1">
      <alignment horizontal="center" vertical="center" wrapText="1"/>
    </xf>
    <xf numFmtId="0" fontId="60" fillId="0" borderId="85" xfId="42" applyFont="1" applyBorder="1" applyAlignment="1">
      <alignment horizontal="center" vertical="center"/>
    </xf>
    <xf numFmtId="0" fontId="60" fillId="0" borderId="28" xfId="42" applyFont="1" applyBorder="1" applyAlignment="1">
      <alignment horizontal="center" vertical="center"/>
    </xf>
    <xf numFmtId="0" fontId="60" fillId="0" borderId="29" xfId="42" applyFont="1" applyBorder="1" applyAlignment="1">
      <alignment horizontal="center" vertical="center"/>
    </xf>
    <xf numFmtId="0" fontId="59" fillId="3" borderId="6" xfId="42" applyFont="1" applyFill="1" applyBorder="1" applyAlignment="1">
      <alignment horizontal="center" vertical="center"/>
    </xf>
    <xf numFmtId="0" fontId="59" fillId="3" borderId="7" xfId="42" applyFont="1" applyFill="1" applyBorder="1" applyAlignment="1">
      <alignment horizontal="center" vertical="center"/>
    </xf>
    <xf numFmtId="0" fontId="59" fillId="3" borderId="94" xfId="42" applyFont="1" applyFill="1" applyBorder="1" applyAlignment="1">
      <alignment horizontal="center" vertical="center"/>
    </xf>
    <xf numFmtId="0" fontId="54" fillId="13" borderId="18" xfId="184" applyFont="1" applyFill="1" applyBorder="1" applyAlignment="1">
      <alignment horizontal="center" vertical="center" wrapText="1"/>
    </xf>
    <xf numFmtId="0" fontId="54" fillId="13" borderId="7" xfId="184" applyFont="1" applyFill="1" applyBorder="1" applyAlignment="1">
      <alignment horizontal="center" vertical="center" wrapText="1"/>
    </xf>
    <xf numFmtId="0" fontId="54" fillId="13" borderId="9" xfId="184" applyFont="1" applyFill="1" applyBorder="1" applyAlignment="1">
      <alignment horizontal="center" vertical="center" wrapText="1"/>
    </xf>
    <xf numFmtId="0" fontId="54" fillId="0" borderId="95" xfId="184" applyFont="1" applyBorder="1" applyAlignment="1">
      <alignment horizontal="center" vertical="center"/>
    </xf>
    <xf numFmtId="0" fontId="54" fillId="0" borderId="86" xfId="184" applyFont="1" applyBorder="1" applyAlignment="1">
      <alignment horizontal="center" vertical="center"/>
    </xf>
    <xf numFmtId="0" fontId="54" fillId="0" borderId="96" xfId="184" applyFont="1" applyBorder="1" applyAlignment="1">
      <alignment horizontal="center" vertical="center"/>
    </xf>
    <xf numFmtId="0" fontId="59" fillId="3" borderId="92" xfId="184" applyFont="1" applyFill="1" applyBorder="1" applyAlignment="1">
      <alignment horizontal="center" vertical="center"/>
    </xf>
    <xf numFmtId="0" fontId="59" fillId="3" borderId="93" xfId="184" applyFont="1" applyFill="1" applyBorder="1" applyAlignment="1">
      <alignment horizontal="center" vertical="center"/>
    </xf>
    <xf numFmtId="10" fontId="64" fillId="0" borderId="8" xfId="36" applyNumberFormat="1" applyFont="1" applyBorder="1" applyAlignment="1">
      <alignment horizontal="center" vertical="center" wrapText="1"/>
    </xf>
    <xf numFmtId="0" fontId="2" fillId="0" borderId="8" xfId="184" applyBorder="1" applyAlignment="1">
      <alignment horizontal="left" vertical="center"/>
    </xf>
    <xf numFmtId="0" fontId="2" fillId="0" borderId="1" xfId="184" applyBorder="1" applyAlignment="1">
      <alignment horizontal="left" vertical="center"/>
    </xf>
    <xf numFmtId="0" fontId="2" fillId="0" borderId="0" xfId="184" applyAlignment="1">
      <alignment horizontal="left" vertical="center"/>
    </xf>
    <xf numFmtId="168" fontId="77" fillId="0" borderId="14" xfId="183" applyNumberFormat="1" applyFont="1" applyBorder="1" applyAlignment="1">
      <alignment horizontal="center" vertical="center"/>
    </xf>
    <xf numFmtId="0" fontId="76" fillId="0" borderId="32" xfId="183" applyFont="1" applyBorder="1" applyAlignment="1">
      <alignment horizontal="center" vertical="center"/>
    </xf>
    <xf numFmtId="0" fontId="77" fillId="0" borderId="12" xfId="183" applyFont="1" applyBorder="1" applyAlignment="1">
      <alignment horizontal="center" vertical="center"/>
    </xf>
    <xf numFmtId="0" fontId="77" fillId="0" borderId="14" xfId="183" applyFont="1" applyBorder="1" applyAlignment="1">
      <alignment horizontal="center" vertical="center"/>
    </xf>
    <xf numFmtId="0" fontId="77" fillId="0" borderId="13" xfId="183" applyFont="1" applyBorder="1" applyAlignment="1">
      <alignment horizontal="center" vertical="center"/>
    </xf>
    <xf numFmtId="0" fontId="76" fillId="0" borderId="12" xfId="183" applyFont="1" applyBorder="1" applyAlignment="1">
      <alignment horizontal="left" vertical="center" wrapText="1"/>
    </xf>
    <xf numFmtId="0" fontId="76" fillId="0" borderId="14" xfId="183" applyFont="1" applyBorder="1" applyAlignment="1">
      <alignment horizontal="left" vertical="center" wrapText="1"/>
    </xf>
    <xf numFmtId="0" fontId="76" fillId="0" borderId="13" xfId="183" applyFont="1" applyBorder="1" applyAlignment="1">
      <alignment horizontal="left" vertical="center" wrapText="1"/>
    </xf>
    <xf numFmtId="0" fontId="78" fillId="0" borderId="12" xfId="183" applyFont="1" applyBorder="1" applyAlignment="1">
      <alignment horizontal="center" vertical="center"/>
    </xf>
    <xf numFmtId="0" fontId="78" fillId="0" borderId="14" xfId="183" applyFont="1" applyBorder="1" applyAlignment="1">
      <alignment horizontal="center" vertical="center"/>
    </xf>
  </cellXfs>
  <cellStyles count="264">
    <cellStyle name="20% - Ênfase1 2" xfId="187"/>
    <cellStyle name="20% - Ênfase2 2" xfId="188"/>
    <cellStyle name="20% - Ênfase3 2" xfId="189"/>
    <cellStyle name="20% - Ênfase4 2" xfId="190"/>
    <cellStyle name="20% - Ênfase5 2" xfId="191"/>
    <cellStyle name="20% - Ênfase6 2" xfId="192"/>
    <cellStyle name="40% - Ênfase1 2" xfId="193"/>
    <cellStyle name="40% - Ênfase2 2" xfId="194"/>
    <cellStyle name="40% - Ênfase3 2" xfId="195"/>
    <cellStyle name="40% - Ênfase4 2" xfId="196"/>
    <cellStyle name="40% - Ênfase5 2" xfId="197"/>
    <cellStyle name="40% - Ênfase6 2" xfId="198"/>
    <cellStyle name="60% - Ênfase1 2" xfId="199"/>
    <cellStyle name="60% - Ênfase2 2" xfId="200"/>
    <cellStyle name="60% - Ênfase3 2" xfId="201"/>
    <cellStyle name="60% - Ênfase4 2" xfId="202"/>
    <cellStyle name="60% - Ênfase5 2" xfId="203"/>
    <cellStyle name="60% - Ênfase6 2" xfId="204"/>
    <cellStyle name="Bom 2" xfId="205"/>
    <cellStyle name="Cálculo 2" xfId="206"/>
    <cellStyle name="Célula de Verificação 2" xfId="207"/>
    <cellStyle name="Célula Vinculada 2" xfId="208"/>
    <cellStyle name="condicional" xfId="178"/>
    <cellStyle name="Ênfase1 2" xfId="209"/>
    <cellStyle name="Ênfase2 2" xfId="210"/>
    <cellStyle name="Ênfase3 2" xfId="211"/>
    <cellStyle name="Ênfase4 2" xfId="212"/>
    <cellStyle name="Ênfase5 2" xfId="213"/>
    <cellStyle name="Ênfase6 2" xfId="214"/>
    <cellStyle name="Entrada 2" xfId="215"/>
    <cellStyle name="Euro" xfId="216"/>
    <cellStyle name="Excel Built-in Excel Built-in Excel Built-in Vírgula 2" xfId="43"/>
    <cellStyle name="Excel Built-in Normal" xfId="44"/>
    <cellStyle name="Hiperlink 2" xfId="217"/>
    <cellStyle name="Hiperlink 2 2" xfId="218"/>
    <cellStyle name="Hiperlink 3" xfId="219"/>
    <cellStyle name="Incorreto 2" xfId="220"/>
    <cellStyle name="Incorreto 3" xfId="221"/>
    <cellStyle name="Moeda" xfId="1" builtinId="4"/>
    <cellStyle name="Moeda 10" xfId="179"/>
    <cellStyle name="Moeda 11" xfId="9"/>
    <cellStyle name="Moeda 12" xfId="222"/>
    <cellStyle name="Moeda 2" xfId="17"/>
    <cellStyle name="Moeda 2 2" xfId="45"/>
    <cellStyle name="Moeda 2 2 2" xfId="46"/>
    <cellStyle name="Moeda 2 2 3" xfId="47"/>
    <cellStyle name="Moeda 2 2 4" xfId="18"/>
    <cellStyle name="Moeda 2 3" xfId="48"/>
    <cellStyle name="Moeda 2 3 2" xfId="223"/>
    <cellStyle name="Moeda 2 4" xfId="224"/>
    <cellStyle name="Moeda 2 5" xfId="225"/>
    <cellStyle name="Moeda 3" xfId="49"/>
    <cellStyle name="Moeda 3 2" xfId="50"/>
    <cellStyle name="Moeda 3 2 2" xfId="51"/>
    <cellStyle name="Moeda 3 2 3" xfId="52"/>
    <cellStyle name="Moeda 3 2 4" xfId="19"/>
    <cellStyle name="Moeda 3 2 4 2" xfId="53"/>
    <cellStyle name="Moeda 3 3" xfId="54"/>
    <cellStyle name="Moeda 3 3 2" xfId="20"/>
    <cellStyle name="Moeda 3 4" xfId="226"/>
    <cellStyle name="Moeda 4" xfId="55"/>
    <cellStyle name="Moeda 4 2" xfId="56"/>
    <cellStyle name="Moeda 4 2 2" xfId="21"/>
    <cellStyle name="Moeda 4 3" xfId="57"/>
    <cellStyle name="Moeda 5" xfId="58"/>
    <cellStyle name="Moeda 5 2" xfId="227"/>
    <cellStyle name="Moeda 6" xfId="59"/>
    <cellStyle name="Moeda 6 2" xfId="228"/>
    <cellStyle name="Moeda 7" xfId="60"/>
    <cellStyle name="Moeda 8" xfId="61"/>
    <cellStyle name="Moeda 8 2" xfId="62"/>
    <cellStyle name="Moeda 9" xfId="63"/>
    <cellStyle name="Neutra 2" xfId="229"/>
    <cellStyle name="Normal" xfId="0" builtinId="0"/>
    <cellStyle name="Normal 10" xfId="22"/>
    <cellStyle name="Normal 10 2" xfId="64"/>
    <cellStyle name="Normal 10 3" xfId="65"/>
    <cellStyle name="Normal 10 4" xfId="23"/>
    <cellStyle name="Normal 10_Compo-Civil" xfId="24"/>
    <cellStyle name="Normal 11" xfId="66"/>
    <cellStyle name="Normal 11 2" xfId="67"/>
    <cellStyle name="Normal 11 2 2" xfId="177"/>
    <cellStyle name="Normal 11 3" xfId="68"/>
    <cellStyle name="Normal 11 4" xfId="69"/>
    <cellStyle name="Normal 12" xfId="70"/>
    <cellStyle name="Normal 12 2" xfId="71"/>
    <cellStyle name="Normal 12 3" xfId="230"/>
    <cellStyle name="Normal 13" xfId="72"/>
    <cellStyle name="Normal 13 2" xfId="73"/>
    <cellStyle name="Normal 14" xfId="74"/>
    <cellStyle name="Normal 15" xfId="75"/>
    <cellStyle name="Normal 15 2" xfId="76"/>
    <cellStyle name="Normal 15 3" xfId="77"/>
    <cellStyle name="Normal 15 3 2" xfId="78"/>
    <cellStyle name="Normal 16" xfId="79"/>
    <cellStyle name="Normal 17" xfId="80"/>
    <cellStyle name="Normal 18" xfId="81"/>
    <cellStyle name="Normal 19" xfId="82"/>
    <cellStyle name="Normal 2" xfId="25"/>
    <cellStyle name="Normal 2 10 2" xfId="83"/>
    <cellStyle name="Normal 2 13" xfId="84"/>
    <cellStyle name="Normal 2 2" xfId="26"/>
    <cellStyle name="Normal 2 2 2" xfId="8"/>
    <cellStyle name="Normal 2 2 2 2" xfId="85"/>
    <cellStyle name="Normal 2 2 2 2 2" xfId="27"/>
    <cellStyle name="Normal 2 2 2 3" xfId="86"/>
    <cellStyle name="Normal 2 2 2 3 2" xfId="28"/>
    <cellStyle name="Normal 2 2 2 3 2 2" xfId="87"/>
    <cellStyle name="Normal 2 2 2 4" xfId="29"/>
    <cellStyle name="Normal 2 2 3" xfId="88"/>
    <cellStyle name="Normal 2 2 3 2" xfId="30"/>
    <cellStyle name="Normal 2 2 4" xfId="89"/>
    <cellStyle name="Normal 2 2 5" xfId="16"/>
    <cellStyle name="Normal 2 2 5 2" xfId="42"/>
    <cellStyle name="Normal 2 3" xfId="90"/>
    <cellStyle name="Normal 2 3 2" xfId="91"/>
    <cellStyle name="Normal 2 3 3" xfId="231"/>
    <cellStyle name="Normal 2 4" xfId="92"/>
    <cellStyle name="Normal 2 4 2" xfId="93"/>
    <cellStyle name="Normal 2 5" xfId="94"/>
    <cellStyle name="Normal 2 5 2" xfId="232"/>
    <cellStyle name="Normal 2 6" xfId="233"/>
    <cellStyle name="Normal 20" xfId="95"/>
    <cellStyle name="Normal 21" xfId="96"/>
    <cellStyle name="Normal 22" xfId="97"/>
    <cellStyle name="Normal 22 3" xfId="234"/>
    <cellStyle name="Normal 23" xfId="98"/>
    <cellStyle name="Normal 23 2" xfId="31"/>
    <cellStyle name="Normal 24" xfId="99"/>
    <cellStyle name="Normal 25" xfId="100"/>
    <cellStyle name="Normal 26" xfId="11"/>
    <cellStyle name="Normal 27" xfId="101"/>
    <cellStyle name="Normal 27 2" xfId="102"/>
    <cellStyle name="Normal 28" xfId="2"/>
    <cellStyle name="Normal 28 2" xfId="12"/>
    <cellStyle name="Normal 29" xfId="176"/>
    <cellStyle name="Normal 29 2" xfId="183"/>
    <cellStyle name="Normal 3" xfId="32"/>
    <cellStyle name="Normal 3 13" xfId="103"/>
    <cellStyle name="Normal 3 2" xfId="33"/>
    <cellStyle name="Normal 3 2 2" xfId="104"/>
    <cellStyle name="Normal 3 2 2 2" xfId="105"/>
    <cellStyle name="Normal 3 2 2 2 2" xfId="106"/>
    <cellStyle name="Normal 3 2 2 3" xfId="107"/>
    <cellStyle name="Normal 3 2 2 4" xfId="108"/>
    <cellStyle name="Normal 3 2 3" xfId="109"/>
    <cellStyle name="Normal 3 2 4" xfId="110"/>
    <cellStyle name="Normal 3 2 5" xfId="235"/>
    <cellStyle name="Normal 3 3" xfId="111"/>
    <cellStyle name="Normal 3 3 2" xfId="34"/>
    <cellStyle name="Normal 3 3 2 2" xfId="236"/>
    <cellStyle name="Normal 3 4" xfId="112"/>
    <cellStyle name="Normal 3 5" xfId="113"/>
    <cellStyle name="Normal 30" xfId="186"/>
    <cellStyle name="Normal 31" xfId="237"/>
    <cellStyle name="Normal 32" xfId="238"/>
    <cellStyle name="Normal 33" xfId="239"/>
    <cellStyle name="Normal 34" xfId="114"/>
    <cellStyle name="Normal 35" xfId="115"/>
    <cellStyle name="Normal 4" xfId="41"/>
    <cellStyle name="Normal 4 12" xfId="116"/>
    <cellStyle name="Normal 4 2" xfId="117"/>
    <cellStyle name="Normal 4 3" xfId="118"/>
    <cellStyle name="Normal 4 4" xfId="119"/>
    <cellStyle name="Normal 4 5" xfId="14"/>
    <cellStyle name="Normal 4 5 2" xfId="175"/>
    <cellStyle name="Normal 4 5 3" xfId="180"/>
    <cellStyle name="Normal 4 5 3 2" xfId="184"/>
    <cellStyle name="Normal 5" xfId="120"/>
    <cellStyle name="Normal 5 2" xfId="121"/>
    <cellStyle name="Normal 5 2 2" xfId="240"/>
    <cellStyle name="Normal 5 2 2 2 2 2" xfId="122"/>
    <cellStyle name="Normal 5 2 2 2 2 2 2" xfId="123"/>
    <cellStyle name="Normal 5 2 2 3" xfId="35"/>
    <cellStyle name="Normal 5 2 2 3 2" xfId="124"/>
    <cellStyle name="Normal 5 3" xfId="125"/>
    <cellStyle name="Normal 5 3 2" xfId="126"/>
    <cellStyle name="Normal 5 3 2 2" xfId="241"/>
    <cellStyle name="Normal 5 3 2 2 2 2" xfId="127"/>
    <cellStyle name="Normal 5 3 2 2 2 2 2" xfId="128"/>
    <cellStyle name="Normal 6" xfId="129"/>
    <cellStyle name="Normal 6 2" xfId="130"/>
    <cellStyle name="Normal 6 2 2" xfId="131"/>
    <cellStyle name="Normal 6 2 3" xfId="132"/>
    <cellStyle name="Normal 6 3" xfId="133"/>
    <cellStyle name="Normal 6 4" xfId="242"/>
    <cellStyle name="Normal 7" xfId="134"/>
    <cellStyle name="Normal 7 2" xfId="243"/>
    <cellStyle name="Normal 8" xfId="135"/>
    <cellStyle name="Normal 8 2" xfId="136"/>
    <cellStyle name="Normal 8 2 2" xfId="244"/>
    <cellStyle name="Normal 8 2 2 2" xfId="245"/>
    <cellStyle name="Normal 8 3" xfId="246"/>
    <cellStyle name="Normal 9" xfId="137"/>
    <cellStyle name="Normal_Orcamento estimativo Construção Centro Cultural Fase Conclus" xfId="3"/>
    <cellStyle name="Normal_Orcamento estimativo Construção Centro Cultural Fase Conclus 2" xfId="6"/>
    <cellStyle name="Normal_Orcamento estimativo Construção Centro Cultural Fase Conclus 2 2" xfId="10"/>
    <cellStyle name="Nota 2" xfId="247"/>
    <cellStyle name="Porcentagem" xfId="185" builtinId="5"/>
    <cellStyle name="Porcentagem 2" xfId="4"/>
    <cellStyle name="Porcentagem 2 2" xfId="36"/>
    <cellStyle name="Porcentagem 2 2 2" xfId="138"/>
    <cellStyle name="Porcentagem 2 2 3" xfId="139"/>
    <cellStyle name="Porcentagem 2 2 4" xfId="140"/>
    <cellStyle name="Porcentagem 2 3" xfId="141"/>
    <cellStyle name="Porcentagem 2 4" xfId="142"/>
    <cellStyle name="Porcentagem 2 5" xfId="13"/>
    <cellStyle name="Porcentagem 3" xfId="15"/>
    <cellStyle name="Porcentagem 3 2" xfId="37"/>
    <cellStyle name="Porcentagem 3 3" xfId="143"/>
    <cellStyle name="Porcentagem 3 4" xfId="144"/>
    <cellStyle name="Porcentagem 4" xfId="145"/>
    <cellStyle name="Porcentagem 4 2" xfId="248"/>
    <cellStyle name="Porcentagem 4 2 2" xfId="249"/>
    <cellStyle name="Porcentagem 4 2 3" xfId="38"/>
    <cellStyle name="Porcentagem 4 3" xfId="250"/>
    <cellStyle name="Porcentagem 5" xfId="146"/>
    <cellStyle name="Porcentagem 5 2" xfId="147"/>
    <cellStyle name="Porcentagem 6" xfId="148"/>
    <cellStyle name="Porcentagem 6 2" xfId="251"/>
    <cellStyle name="Porcentagem 7" xfId="149"/>
    <cellStyle name="Porcentagem 8" xfId="181"/>
    <cellStyle name="Porcentagem 9" xfId="252"/>
    <cellStyle name="Saída 2" xfId="253"/>
    <cellStyle name="Separador de milhares" xfId="5" builtinId="3"/>
    <cellStyle name="Separador de milhares 2" xfId="150"/>
    <cellStyle name="Separador de milhares 2 2" xfId="151"/>
    <cellStyle name="Separador de milhares 3" xfId="254"/>
    <cellStyle name="Separador de milhares 6" xfId="152"/>
    <cellStyle name="Separador de milhares 6 2" xfId="153"/>
    <cellStyle name="Separador de milhares 7" xfId="154"/>
    <cellStyle name="Serenco" xfId="255"/>
    <cellStyle name="TableStyleLight1" xfId="155"/>
    <cellStyle name="Texto de Aviso 2" xfId="256"/>
    <cellStyle name="Texto Explicativo" xfId="7" builtinId="53"/>
    <cellStyle name="Texto Explicativo 2" xfId="257"/>
    <cellStyle name="Título 1 1" xfId="156"/>
    <cellStyle name="Título 1 2" xfId="258"/>
    <cellStyle name="Título 2 2" xfId="259"/>
    <cellStyle name="Título 3 2" xfId="260"/>
    <cellStyle name="Título 4 2" xfId="261"/>
    <cellStyle name="Título 5" xfId="262"/>
    <cellStyle name="Total 2" xfId="263"/>
    <cellStyle name="Vírgula 12 2 2" xfId="157"/>
    <cellStyle name="Vírgula 12 2 2 2" xfId="158"/>
    <cellStyle name="Vírgula 2" xfId="39"/>
    <cellStyle name="Vírgula 2 2" xfId="159"/>
    <cellStyle name="Vírgula 2 2 2" xfId="160"/>
    <cellStyle name="Vírgula 2 2 3" xfId="161"/>
    <cellStyle name="Vírgula 2 3" xfId="162"/>
    <cellStyle name="Vírgula 3" xfId="40"/>
    <cellStyle name="Vírgula 3 2" xfId="163"/>
    <cellStyle name="Vírgula 3 3" xfId="182"/>
    <cellStyle name="Vírgula 4" xfId="164"/>
    <cellStyle name="Vírgula 5" xfId="165"/>
    <cellStyle name="Vírgula 5 2" xfId="166"/>
    <cellStyle name="Vírgula 6" xfId="167"/>
    <cellStyle name="Vírgula 6 2" xfId="168"/>
    <cellStyle name="Vírgula 6 2 2" xfId="169"/>
    <cellStyle name="Vírgula 6 3" xfId="170"/>
    <cellStyle name="Vírgula 7" xfId="171"/>
    <cellStyle name="Vírgula 7 2" xfId="172"/>
    <cellStyle name="Vírgula 9" xfId="173"/>
    <cellStyle name="Vírgula 9 2" xfId="174"/>
  </cellStyles>
  <dxfs count="10">
    <dxf>
      <fill>
        <patternFill patternType="solid">
          <bgColor rgb="FFF0F0F0"/>
        </patternFill>
      </fill>
    </dxf>
    <dxf>
      <fill>
        <patternFill patternType="solid">
          <bgColor rgb="FFF0F0F0"/>
        </patternFill>
      </fill>
    </dxf>
    <dxf>
      <fill>
        <patternFill patternType="solid">
          <bgColor rgb="FFF0F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FF00"/>
      <color rgb="FF66FF66"/>
      <color rgb="FFB3C5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41415</xdr:colOff>
      <xdr:row>16</xdr:row>
      <xdr:rowOff>99899</xdr:rowOff>
    </xdr:from>
    <xdr:to>
      <xdr:col>0</xdr:col>
      <xdr:colOff>7346674</xdr:colOff>
      <xdr:row>31</xdr:row>
      <xdr:rowOff>91107</xdr:rowOff>
    </xdr:to>
    <xdr:pic>
      <xdr:nvPicPr>
        <xdr:cNvPr id="2" name="Imagem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54328" y="5119160"/>
          <a:ext cx="7305259" cy="309718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0</xdr:col>
      <xdr:colOff>373673</xdr:colOff>
      <xdr:row>42</xdr:row>
      <xdr:rowOff>146536</xdr:rowOff>
    </xdr:from>
    <xdr:to>
      <xdr:col>0</xdr:col>
      <xdr:colOff>6931268</xdr:colOff>
      <xdr:row>51</xdr:row>
      <xdr:rowOff>202304</xdr:rowOff>
    </xdr:to>
    <xdr:pic>
      <xdr:nvPicPr>
        <xdr:cNvPr id="3" name="Imagem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373673" y="13422921"/>
          <a:ext cx="6557595" cy="196809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78442</xdr:colOff>
      <xdr:row>0</xdr:row>
      <xdr:rowOff>67236</xdr:rowOff>
    </xdr:from>
    <xdr:to>
      <xdr:col>2</xdr:col>
      <xdr:colOff>2406465</xdr:colOff>
      <xdr:row>1</xdr:row>
      <xdr:rowOff>1</xdr:rowOff>
    </xdr:to>
    <xdr:pic>
      <xdr:nvPicPr>
        <xdr:cNvPr id="3" name="Imagem 2">
          <a:extLst>
            <a:ext uri="{FF2B5EF4-FFF2-40B4-BE49-F238E27FC236}">
              <a16:creationId xmlns:a16="http://schemas.microsoft.com/office/drawing/2014/main" xmlns="" id="{00000000-0008-0000-0F00-00000300000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021417" y="67236"/>
          <a:ext cx="2328023" cy="75191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51707</xdr:colOff>
      <xdr:row>0</xdr:row>
      <xdr:rowOff>35379</xdr:rowOff>
    </xdr:from>
    <xdr:to>
      <xdr:col>1</xdr:col>
      <xdr:colOff>3208564</xdr:colOff>
      <xdr:row>0</xdr:row>
      <xdr:rowOff>1118961</xdr:rowOff>
    </xdr:to>
    <xdr:pic>
      <xdr:nvPicPr>
        <xdr:cNvPr id="5" name="Imagem 4">
          <a:extLst>
            <a:ext uri="{FF2B5EF4-FFF2-40B4-BE49-F238E27FC236}">
              <a16:creationId xmlns:a16="http://schemas.microsoft.com/office/drawing/2014/main" xmlns="" id="{242A5E13-02E8-4CE3-950F-E161CFD4938F}"/>
            </a:ext>
          </a:extLst>
        </xdr:cNvPr>
        <xdr:cNvPicPr>
          <a:picLocks noChangeAspect="1"/>
        </xdr:cNvPicPr>
      </xdr:nvPicPr>
      <xdr:blipFill>
        <a:blip xmlns:r="http://schemas.openxmlformats.org/officeDocument/2006/relationships" r:embed="rId1" cstate="print"/>
        <a:stretch>
          <a:fillRect/>
        </a:stretch>
      </xdr:blipFill>
      <xdr:spPr>
        <a:xfrm>
          <a:off x="51707" y="35379"/>
          <a:ext cx="3814082" cy="1083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240195</xdr:colOff>
      <xdr:row>842</xdr:row>
      <xdr:rowOff>99392</xdr:rowOff>
    </xdr:from>
    <xdr:to>
      <xdr:col>27</xdr:col>
      <xdr:colOff>353252</xdr:colOff>
      <xdr:row>862</xdr:row>
      <xdr:rowOff>38515</xdr:rowOff>
    </xdr:to>
    <xdr:pic>
      <xdr:nvPicPr>
        <xdr:cNvPr id="2" name="Imagem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746934" y="147645783"/>
          <a:ext cx="4819650" cy="3724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104775</xdr:colOff>
      <xdr:row>0</xdr:row>
      <xdr:rowOff>95250</xdr:rowOff>
    </xdr:from>
    <xdr:to>
      <xdr:col>4</xdr:col>
      <xdr:colOff>1165973</xdr:colOff>
      <xdr:row>4</xdr:row>
      <xdr:rowOff>103094</xdr:rowOff>
    </xdr:to>
    <xdr:pic>
      <xdr:nvPicPr>
        <xdr:cNvPr id="3" name="Imagem 2">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95250"/>
          <a:ext cx="2328023" cy="75079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57977</xdr:colOff>
      <xdr:row>0</xdr:row>
      <xdr:rowOff>152815</xdr:rowOff>
    </xdr:from>
    <xdr:to>
      <xdr:col>1</xdr:col>
      <xdr:colOff>3555005</xdr:colOff>
      <xdr:row>0</xdr:row>
      <xdr:rowOff>1184412</xdr:rowOff>
    </xdr:to>
    <xdr:pic>
      <xdr:nvPicPr>
        <xdr:cNvPr id="6" name="Imagem 5">
          <a:extLst>
            <a:ext uri="{FF2B5EF4-FFF2-40B4-BE49-F238E27FC236}">
              <a16:creationId xmlns:a16="http://schemas.microsoft.com/office/drawing/2014/main" xmlns="" id="{05348655-ECCA-41FB-B316-A455CB10C8F6}"/>
            </a:ext>
          </a:extLst>
        </xdr:cNvPr>
        <xdr:cNvPicPr>
          <a:picLocks noChangeAspect="1"/>
        </xdr:cNvPicPr>
      </xdr:nvPicPr>
      <xdr:blipFill>
        <a:blip xmlns:r="http://schemas.openxmlformats.org/officeDocument/2006/relationships" r:embed="rId1" cstate="print"/>
        <a:stretch>
          <a:fillRect/>
        </a:stretch>
      </xdr:blipFill>
      <xdr:spPr>
        <a:xfrm>
          <a:off x="57977" y="152815"/>
          <a:ext cx="4126506" cy="10315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942975</xdr:colOff>
      <xdr:row>1</xdr:row>
      <xdr:rowOff>38100</xdr:rowOff>
    </xdr:from>
    <xdr:to>
      <xdr:col>9</xdr:col>
      <xdr:colOff>942975</xdr:colOff>
      <xdr:row>4</xdr:row>
      <xdr:rowOff>113179</xdr:rowOff>
    </xdr:to>
    <xdr:pic>
      <xdr:nvPicPr>
        <xdr:cNvPr id="10379" name="Imagem 4">
          <a:extLst>
            <a:ext uri="{FF2B5EF4-FFF2-40B4-BE49-F238E27FC236}">
              <a16:creationId xmlns:a16="http://schemas.microsoft.com/office/drawing/2014/main" xmlns="" id="{00000000-0008-0000-0500-00008B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505700" y="38100"/>
          <a:ext cx="0" cy="819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942975</xdr:colOff>
      <xdr:row>1</xdr:row>
      <xdr:rowOff>38100</xdr:rowOff>
    </xdr:from>
    <xdr:to>
      <xdr:col>9</xdr:col>
      <xdr:colOff>942975</xdr:colOff>
      <xdr:row>4</xdr:row>
      <xdr:rowOff>113179</xdr:rowOff>
    </xdr:to>
    <xdr:pic>
      <xdr:nvPicPr>
        <xdr:cNvPr id="6" name="Imagem 4">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505700" y="38100"/>
          <a:ext cx="0" cy="819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18862</xdr:rowOff>
    </xdr:from>
    <xdr:to>
      <xdr:col>4</xdr:col>
      <xdr:colOff>257736</xdr:colOff>
      <xdr:row>1</xdr:row>
      <xdr:rowOff>272675</xdr:rowOff>
    </xdr:to>
    <xdr:pic>
      <xdr:nvPicPr>
        <xdr:cNvPr id="8" name="Imagem 7">
          <a:extLst>
            <a:ext uri="{FF2B5EF4-FFF2-40B4-BE49-F238E27FC236}">
              <a16:creationId xmlns:a16="http://schemas.microsoft.com/office/drawing/2014/main" xmlns="" id="{738D47E3-3F4B-4B58-B5BE-5A8700E90E39}"/>
            </a:ext>
          </a:extLst>
        </xdr:cNvPr>
        <xdr:cNvPicPr>
          <a:picLocks noChangeAspect="1"/>
        </xdr:cNvPicPr>
      </xdr:nvPicPr>
      <xdr:blipFill>
        <a:blip xmlns:r="http://schemas.openxmlformats.org/officeDocument/2006/relationships" r:embed="rId2" cstate="print"/>
        <a:stretch>
          <a:fillRect/>
        </a:stretch>
      </xdr:blipFill>
      <xdr:spPr>
        <a:xfrm>
          <a:off x="0" y="18862"/>
          <a:ext cx="3664324" cy="1038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136072</xdr:colOff>
      <xdr:row>0</xdr:row>
      <xdr:rowOff>40820</xdr:rowOff>
    </xdr:from>
    <xdr:to>
      <xdr:col>1</xdr:col>
      <xdr:colOff>3283404</xdr:colOff>
      <xdr:row>0</xdr:row>
      <xdr:rowOff>1120320</xdr:rowOff>
    </xdr:to>
    <xdr:pic>
      <xdr:nvPicPr>
        <xdr:cNvPr id="4" name="Imagem 3">
          <a:extLst>
            <a:ext uri="{FF2B5EF4-FFF2-40B4-BE49-F238E27FC236}">
              <a16:creationId xmlns:a16="http://schemas.microsoft.com/office/drawing/2014/main" xmlns="" id="{21BEAF47-EAF9-4525-81D1-9361A39CB775}"/>
            </a:ext>
          </a:extLst>
        </xdr:cNvPr>
        <xdr:cNvPicPr>
          <a:picLocks noChangeAspect="1"/>
        </xdr:cNvPicPr>
      </xdr:nvPicPr>
      <xdr:blipFill>
        <a:blip xmlns:r="http://schemas.openxmlformats.org/officeDocument/2006/relationships" r:embed="rId1" cstate="print"/>
        <a:stretch>
          <a:fillRect/>
        </a:stretch>
      </xdr:blipFill>
      <xdr:spPr>
        <a:xfrm>
          <a:off x="136072" y="40820"/>
          <a:ext cx="3810000" cy="1079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99389</xdr:colOff>
      <xdr:row>0</xdr:row>
      <xdr:rowOff>33130</xdr:rowOff>
    </xdr:from>
    <xdr:to>
      <xdr:col>6</xdr:col>
      <xdr:colOff>766080</xdr:colOff>
      <xdr:row>4</xdr:row>
      <xdr:rowOff>362995</xdr:rowOff>
    </xdr:to>
    <xdr:pic>
      <xdr:nvPicPr>
        <xdr:cNvPr id="2" name="Imagem 1">
          <a:extLst>
            <a:ext uri="{FF2B5EF4-FFF2-40B4-BE49-F238E27FC236}">
              <a16:creationId xmlns:a16="http://schemas.microsoft.com/office/drawing/2014/main" xmlns="" id="{36E0E091-B8CD-4822-B4CC-C7391CCFF48F}"/>
            </a:ext>
          </a:extLst>
        </xdr:cNvPr>
        <xdr:cNvPicPr>
          <a:picLocks noChangeAspect="1"/>
        </xdr:cNvPicPr>
      </xdr:nvPicPr>
      <xdr:blipFill>
        <a:blip xmlns:r="http://schemas.openxmlformats.org/officeDocument/2006/relationships" r:embed="rId1" cstate="print"/>
        <a:stretch>
          <a:fillRect/>
        </a:stretch>
      </xdr:blipFill>
      <xdr:spPr>
        <a:xfrm>
          <a:off x="215346" y="33130"/>
          <a:ext cx="3814082" cy="10835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451765</xdr:colOff>
      <xdr:row>0</xdr:row>
      <xdr:rowOff>156883</xdr:rowOff>
    </xdr:from>
    <xdr:to>
      <xdr:col>14</xdr:col>
      <xdr:colOff>324969</xdr:colOff>
      <xdr:row>49</xdr:row>
      <xdr:rowOff>181155</xdr:rowOff>
    </xdr:to>
    <xdr:pic>
      <xdr:nvPicPr>
        <xdr:cNvPr id="2" name="Imagem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13125618" y="156883"/>
          <a:ext cx="4086616" cy="6882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12</xdr:col>
      <xdr:colOff>155903</xdr:colOff>
      <xdr:row>22</xdr:row>
      <xdr:rowOff>142875</xdr:rowOff>
    </xdr:to>
    <xdr:pic>
      <xdr:nvPicPr>
        <xdr:cNvPr id="3" name="Imagem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28650" y="342900"/>
          <a:ext cx="9147503" cy="3362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ova1\c\GODOY_REC\Cad%20pre&#231;os_montagem\05-03\Relat&#243;rio_Caderno%20Pre&#231;os_Mai03%20geral\Caderno%20Pre&#231;os_MAI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_2\TPO\ExcelTPO\Orcamento\SAN%20CONRADO_AHESE\material%20AHESE%20ABRIL16_RESPOSTA%20AHESE\Bacia%200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04.%20APJ\03_PLANO%20DE%20TRABALHO\2018\FISCALIZA&#199;&#195;O%20PROJETO\REDES_DCTA\Material%20Produzido%20B&amp;B\Encerramento\R02\DCTA_Arquivos%20Finais_06.05.19\A4%20-%20Projetos\02_VRP\Frentes%20de%20orcamento%20-%2001.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3904BADD\Frentes%20de%20orcamento%20-%2003.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afael/13%20-%202023/OP/GUARANT&#195;_OP-254_2022_Substitui&#231;&#227;o%20de%20Redes/GEST&#195;O%20DE%20CONTRATO/HTMRafael/2023/FQ-051%20HTM%20JANEIRO%2023.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NTRAL\05993SanConrado\Desenhos\Calculos%20Bacia_01%20Rev30s.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mba\Mayra\01)%20RHS%20Controls\ITU_200_2020_Elabora&#231;&#227;o%20de%20Cadastro\01)%20EDITAL%20(ADM)\03)%20Proposta%20e%20Cronograma\PROPOSTA\Planilha%20e%20Cronograma%20Itu%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20OBSOLETO/PLANILHA%20DE%20OR&#199;AM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sgotos%20sanit&#225;rios/XLS/Relatorios/PJIQ-Itaqu&#225;/ETE/Produtos/Caderno%20I/Planilhas/Previs&#227;o%20de%20chorum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ExcelTPO\Orcamento\SAN%20CONRADO_AHESE\material%20AHESE%20ABRIL16_RESPOSTA%20AHESE_valido%20para%20licitacao\SanConrado%20Redes%20Quantitativo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TOR%20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tpo2005/Desktop/BDI%20_%20CEF/C&#243;pia%20de%20PLANILHA%20M&#218;LTIPLA%20V3.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GIDURSJ\Planilha%20M&#250;ltipla\PM%20GEPAD\Planilha%20M&#250;ltipla%20v01%20-%20GEPAD\PM%20GEPAD\QCI_2015.04.14%20SIWE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Users\Esta&#231;&#227;o%2046\Desktop\Vitalux\1.%20PROSPEC&#199;&#195;O\1.%20CONCESSION&#193;RIAS%20DE%20&#193;GUA\SABESP\Fran&#231;a%20Pinto\Engenharia\2.1%20Diagn&#243;stico%20Energ&#233;tico%20-%20Escopo%20Extra\Investimento_Franca%20Pinto_r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_2\TPO\ExcelTPO\Orcamento\SAN%20CONRADO_AHESE\material%20AHESE%20ABRIL16_RESPOSTA%20AHESE\contato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_2\TPO\Documents%20and%20Settings\frbortoto\Configura&#231;&#245;es%20locais\Temporary%20Internet%20Files\Content.IE5\PQ67TFGE\Planilha%20Sanasa%20Ete%20BoaVista%20Revis&#227;o%20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mai03"/>
      <sheetName val="BEC0403"/>
      <sheetName val="Bso0503"/>
      <sheetName val="Ins0503_especif."/>
    </sheetNames>
    <sheetDataSet>
      <sheetData sheetId="0">
        <row r="2">
          <cell r="A2" t="str">
            <v>010000</v>
          </cell>
          <cell r="B2" t="str">
            <v>CANTEIRO DE OBRAS</v>
          </cell>
        </row>
        <row r="4">
          <cell r="A4" t="str">
            <v>020000</v>
          </cell>
          <cell r="B4" t="str">
            <v>SERVICOS TECNICOS</v>
          </cell>
        </row>
        <row r="5">
          <cell r="A5" t="str">
            <v>020101</v>
          </cell>
          <cell r="B5" t="str">
            <v>DETALHAMENTO DE PROJETO</v>
          </cell>
          <cell r="C5" t="str">
            <v>M</v>
          </cell>
          <cell r="D5">
            <v>3.99</v>
          </cell>
        </row>
        <row r="7">
          <cell r="A7" t="str">
            <v>020200</v>
          </cell>
          <cell r="B7" t="str">
            <v>LOCACAO E CADASTRO</v>
          </cell>
        </row>
        <row r="8">
          <cell r="A8" t="str">
            <v>020201</v>
          </cell>
          <cell r="B8" t="str">
            <v>LOCACAO DE REDES DE ESGOTO</v>
          </cell>
          <cell r="C8" t="str">
            <v>M</v>
          </cell>
          <cell r="D8">
            <v>0.25</v>
          </cell>
        </row>
        <row r="9">
          <cell r="A9" t="str">
            <v>020202</v>
          </cell>
          <cell r="B9" t="str">
            <v>LOCACAO DE ADUTORAS, COLETORES  TRONCOS E INTERCEPTORES</v>
          </cell>
          <cell r="C9" t="str">
            <v>M</v>
          </cell>
          <cell r="D9">
            <v>0.43</v>
          </cell>
        </row>
        <row r="10">
          <cell r="A10" t="str">
            <v>020204</v>
          </cell>
          <cell r="B10" t="str">
            <v>LOCACAO E ACOMPANHAMENTO TOPOGRAFICO DE OBRAS ESPECIAIS</v>
          </cell>
          <cell r="C10" t="str">
            <v>DIA</v>
          </cell>
          <cell r="D10">
            <v>275.64</v>
          </cell>
        </row>
        <row r="11">
          <cell r="A11" t="str">
            <v>020205</v>
          </cell>
          <cell r="B11" t="str">
            <v>CADASTRO DE REDES</v>
          </cell>
          <cell r="C11" t="str">
            <v>M</v>
          </cell>
          <cell r="D11">
            <v>0.71</v>
          </cell>
        </row>
        <row r="12">
          <cell r="A12" t="str">
            <v>020206</v>
          </cell>
          <cell r="B12" t="str">
            <v xml:space="preserve">CADASTRO DE ADUTORAS, COLETORES TRONCOS E INTERCEPTORES </v>
          </cell>
          <cell r="C12" t="str">
            <v>M</v>
          </cell>
          <cell r="D12">
            <v>1.62</v>
          </cell>
        </row>
        <row r="13">
          <cell r="A13" t="str">
            <v>020207</v>
          </cell>
          <cell r="B13" t="str">
            <v>CADASTRO DE LIGACOES</v>
          </cell>
          <cell r="C13" t="str">
            <v>UN</v>
          </cell>
          <cell r="D13">
            <v>5.61</v>
          </cell>
        </row>
        <row r="15">
          <cell r="A15" t="str">
            <v>030000</v>
          </cell>
          <cell r="B15" t="str">
            <v>SERVICOS PRELIMINARES</v>
          </cell>
        </row>
        <row r="16">
          <cell r="A16" t="str">
            <v>030100</v>
          </cell>
          <cell r="B16" t="str">
            <v>TRANSITO E SEGURANCA</v>
          </cell>
        </row>
        <row r="17">
          <cell r="A17" t="str">
            <v>030101</v>
          </cell>
          <cell r="B17" t="str">
            <v>SINALIZACAO DE TRANSITO</v>
          </cell>
          <cell r="C17" t="str">
            <v>M</v>
          </cell>
          <cell r="D17">
            <v>1.17</v>
          </cell>
        </row>
        <row r="18">
          <cell r="A18" t="str">
            <v>030102</v>
          </cell>
          <cell r="B18" t="str">
            <v>TAPUME CONTINUO EM CHAPAS DE MADEIRA OU DE ACO -  SEM ILUMINACAO SEGURANCA</v>
          </cell>
          <cell r="C18" t="str">
            <v>M</v>
          </cell>
          <cell r="D18">
            <v>1.8</v>
          </cell>
        </row>
        <row r="19">
          <cell r="A19" t="str">
            <v>030103</v>
          </cell>
          <cell r="B19" t="str">
            <v>TAPUME CONTINUO EM CHAPAS DE MADEIRA OU DE ACO -  COM ILUMINACAO SEGURANCA</v>
          </cell>
          <cell r="C19" t="str">
            <v>M</v>
          </cell>
          <cell r="D19">
            <v>2.99</v>
          </cell>
        </row>
        <row r="20">
          <cell r="A20" t="str">
            <v>030104</v>
          </cell>
          <cell r="B20" t="str">
            <v>TAPUME DE CHAPA DE MADEIRA COMPENSADA</v>
          </cell>
          <cell r="C20" t="str">
            <v>M2</v>
          </cell>
          <cell r="D20">
            <v>22.87</v>
          </cell>
        </row>
        <row r="22">
          <cell r="A22" t="str">
            <v>030200</v>
          </cell>
          <cell r="B22" t="str">
            <v>PASSADICOS E TRAVESSIAS</v>
          </cell>
        </row>
        <row r="23">
          <cell r="A23" t="str">
            <v>030201</v>
          </cell>
          <cell r="B23" t="str">
            <v>PASSADICOS DE MADEIRA PARA PEDESTRES</v>
          </cell>
          <cell r="C23" t="str">
            <v>M2</v>
          </cell>
          <cell r="D23">
            <v>25.05</v>
          </cell>
        </row>
        <row r="24">
          <cell r="A24" t="str">
            <v>030202</v>
          </cell>
          <cell r="B24" t="str">
            <v>TRAVESSIA DE MADEIRA PARA VEICULOS</v>
          </cell>
          <cell r="C24" t="str">
            <v>M2</v>
          </cell>
          <cell r="D24">
            <v>23.4</v>
          </cell>
        </row>
        <row r="25">
          <cell r="A25" t="str">
            <v>030203</v>
          </cell>
          <cell r="B25" t="str">
            <v>TRAVESSIA DE CHAPA METALICA PARA VEICULOS</v>
          </cell>
          <cell r="C25" t="str">
            <v>M2</v>
          </cell>
          <cell r="D25">
            <v>60.35</v>
          </cell>
        </row>
        <row r="27">
          <cell r="A27" t="str">
            <v>030300</v>
          </cell>
          <cell r="B27" t="str">
            <v>SUSTENTACAO DE ESTRUTURAS</v>
          </cell>
        </row>
        <row r="28">
          <cell r="A28" t="str">
            <v>030301</v>
          </cell>
          <cell r="B28" t="str">
            <v>ESCORAMENTO DE POSTES</v>
          </cell>
          <cell r="C28" t="str">
            <v>UN</v>
          </cell>
          <cell r="D28">
            <v>40.08</v>
          </cell>
        </row>
        <row r="29">
          <cell r="A29" t="str">
            <v>030302</v>
          </cell>
          <cell r="B29" t="str">
            <v>SUSTENTACAO DE TUBULACOES EXISTENTES - PRANCHAS DE PEROBA</v>
          </cell>
          <cell r="C29" t="str">
            <v>M3</v>
          </cell>
          <cell r="D29">
            <v>789.06</v>
          </cell>
        </row>
        <row r="30">
          <cell r="A30" t="str">
            <v>030303</v>
          </cell>
          <cell r="B30" t="str">
            <v>SUSTENTACAO DE TUBULACOES EXISTENTES - PERFIS METALICOS</v>
          </cell>
          <cell r="C30" t="str">
            <v>T</v>
          </cell>
          <cell r="D30">
            <v>351.89</v>
          </cell>
        </row>
        <row r="32">
          <cell r="A32" t="str">
            <v>030400</v>
          </cell>
          <cell r="B32" t="str">
            <v>ATERRO DE FOSSA</v>
          </cell>
        </row>
        <row r="33">
          <cell r="A33" t="str">
            <v>030401</v>
          </cell>
          <cell r="B33" t="str">
            <v>ATERRO DE FOSSA</v>
          </cell>
          <cell r="C33" t="str">
            <v>M3</v>
          </cell>
          <cell r="D33">
            <v>7.19</v>
          </cell>
        </row>
        <row r="34">
          <cell r="A34" t="str">
            <v>030402</v>
          </cell>
          <cell r="B34" t="str">
            <v>ATERRO DE FOSSA COM EXECUCAO DE VIGA DE CONCRETO PARA BERCO DA TUBULACAO</v>
          </cell>
          <cell r="C34" t="str">
            <v>M3</v>
          </cell>
          <cell r="D34">
            <v>49.17</v>
          </cell>
        </row>
        <row r="36">
          <cell r="A36" t="str">
            <v>030500</v>
          </cell>
          <cell r="B36" t="str">
            <v>DESMATAMENTO E LIMPEZA</v>
          </cell>
        </row>
        <row r="37">
          <cell r="A37" t="str">
            <v>030501</v>
          </cell>
          <cell r="B37" t="str">
            <v>CORTE DE ARVORE COM DESTOCAMENTO</v>
          </cell>
          <cell r="C37" t="str">
            <v>UN</v>
          </cell>
          <cell r="D37">
            <v>6.68</v>
          </cell>
        </row>
        <row r="38">
          <cell r="A38" t="str">
            <v>030502</v>
          </cell>
          <cell r="B38" t="str">
            <v>ROCADA E CAPINA</v>
          </cell>
          <cell r="C38" t="str">
            <v>M2</v>
          </cell>
          <cell r="D38">
            <v>0.94</v>
          </cell>
        </row>
        <row r="40">
          <cell r="A40" t="str">
            <v>040000</v>
          </cell>
          <cell r="B40" t="str">
            <v>MOVIMENTO DE TERRA</v>
          </cell>
        </row>
        <row r="41">
          <cell r="A41" t="str">
            <v>040100</v>
          </cell>
          <cell r="B41" t="str">
            <v>ESCAVACAO EM GERAL</v>
          </cell>
        </row>
        <row r="42">
          <cell r="A42" t="str">
            <v>040101</v>
          </cell>
          <cell r="B42" t="str">
            <v>REMOCAO DE TERRA VEGETAL</v>
          </cell>
          <cell r="C42" t="str">
            <v>M2</v>
          </cell>
          <cell r="D42">
            <v>0.47</v>
          </cell>
        </row>
        <row r="43">
          <cell r="A43" t="str">
            <v>040102</v>
          </cell>
          <cell r="B43" t="str">
            <v>ESCAVACAO DE AREAS, MECANIZADA, QUALQUER TERRENO, EXCETO ROCHA</v>
          </cell>
          <cell r="C43" t="str">
            <v>M3</v>
          </cell>
          <cell r="D43">
            <v>2.36</v>
          </cell>
        </row>
        <row r="44">
          <cell r="A44" t="str">
            <v>040103</v>
          </cell>
          <cell r="B44" t="str">
            <v>ESCAVACAO SUBMERSA (DRAGAGEM)</v>
          </cell>
          <cell r="C44" t="str">
            <v>M3</v>
          </cell>
          <cell r="D44">
            <v>14.86</v>
          </cell>
        </row>
        <row r="45">
          <cell r="A45" t="str">
            <v>040104</v>
          </cell>
          <cell r="B45" t="str">
            <v>ESCAVACAO DE JAZIDAS DE SOLO</v>
          </cell>
          <cell r="C45" t="str">
            <v>M3</v>
          </cell>
          <cell r="D45">
            <v>3.37</v>
          </cell>
        </row>
        <row r="46">
          <cell r="A46" t="str">
            <v>040105</v>
          </cell>
          <cell r="B46" t="str">
            <v>ESCAVACAO EM ROCHA DURA COM EXPLOSIVO</v>
          </cell>
          <cell r="C46" t="str">
            <v>M3</v>
          </cell>
          <cell r="D46">
            <v>45.04</v>
          </cell>
        </row>
        <row r="47">
          <cell r="A47" t="str">
            <v>040106</v>
          </cell>
          <cell r="B47" t="str">
            <v>ESCAVACAO EM ROCHA BRANDA OU MOLEDO A FRIO</v>
          </cell>
          <cell r="C47" t="str">
            <v>M3</v>
          </cell>
          <cell r="D47">
            <v>77.33</v>
          </cell>
        </row>
        <row r="49">
          <cell r="A49" t="str">
            <v>040200</v>
          </cell>
          <cell r="B49" t="str">
            <v>ESCAVACAO MANUAL, QUALQUER TERRENO EXCETO ROCHA, DE AREAS, VALAS, POCOS E CAVAS</v>
          </cell>
        </row>
        <row r="50">
          <cell r="A50" t="str">
            <v>040201</v>
          </cell>
          <cell r="B50" t="str">
            <v>ATE 2,00 M DE PROFUNDIDADE</v>
          </cell>
          <cell r="C50" t="str">
            <v>M3</v>
          </cell>
          <cell r="D50">
            <v>20</v>
          </cell>
        </row>
        <row r="51">
          <cell r="A51" t="str">
            <v>040202</v>
          </cell>
          <cell r="B51" t="str">
            <v>ALEM DE 2,00 M ATE 4,00 M DE PROFUNDIDADE</v>
          </cell>
          <cell r="C51" t="str">
            <v>M3</v>
          </cell>
          <cell r="D51">
            <v>23.27</v>
          </cell>
        </row>
        <row r="52">
          <cell r="A52" t="str">
            <v>040203</v>
          </cell>
          <cell r="B52" t="str">
            <v>ALEM DE 4,00 M ATE 6,00 M DE PROFUNDIDADE</v>
          </cell>
          <cell r="C52" t="str">
            <v>M3</v>
          </cell>
          <cell r="D52">
            <v>26.56</v>
          </cell>
        </row>
        <row r="54">
          <cell r="A54" t="str">
            <v>040300</v>
          </cell>
          <cell r="B54" t="str">
            <v>ESCAVACAO MANUAL, QQ TERRENO EXCETO ROCHA PARA EXECUCAO DE ESTACAO ELEVATORIA EM ADUELAS SUCESSIVAS</v>
          </cell>
        </row>
        <row r="55">
          <cell r="A55" t="str">
            <v>040301</v>
          </cell>
          <cell r="B55" t="str">
            <v>ATE 2,00 M DE PROFUNDIDADE</v>
          </cell>
          <cell r="C55" t="str">
            <v>M3</v>
          </cell>
          <cell r="D55">
            <v>34.28</v>
          </cell>
        </row>
        <row r="56">
          <cell r="A56" t="str">
            <v>040302</v>
          </cell>
          <cell r="B56" t="str">
            <v>ALEM DE 2,00 M ATE 4,00 M DE PROFUNDIDADE</v>
          </cell>
          <cell r="C56" t="str">
            <v>M3</v>
          </cell>
          <cell r="D56">
            <v>40.840000000000003</v>
          </cell>
        </row>
        <row r="57">
          <cell r="A57" t="str">
            <v>040303</v>
          </cell>
          <cell r="B57" t="str">
            <v>ALEM DE 4,00 M ATE 6,00 M DE PROFUNDIDADE</v>
          </cell>
          <cell r="C57" t="str">
            <v>M3</v>
          </cell>
          <cell r="D57">
            <v>50.67</v>
          </cell>
        </row>
        <row r="58">
          <cell r="A58" t="str">
            <v>040304</v>
          </cell>
          <cell r="B58" t="str">
            <v>ALEM DE 6,00 M ATE 8,00 M DE PROFUNDIDADE</v>
          </cell>
          <cell r="C58" t="str">
            <v>M3</v>
          </cell>
          <cell r="D58">
            <v>67.05</v>
          </cell>
        </row>
        <row r="60">
          <cell r="A60" t="str">
            <v>040400</v>
          </cell>
          <cell r="B60" t="str">
            <v>ESCAVACAO DE VALAS - REDES DE DISTRIBUICAO</v>
          </cell>
        </row>
        <row r="61">
          <cell r="A61" t="str">
            <v>040401</v>
          </cell>
          <cell r="B61" t="str">
            <v>ADICIONAL DE PRECO PARA ESCAVACAO EM ROCHA, PROFUNDIDADE ATE  1,50 M</v>
          </cell>
          <cell r="C61" t="str">
            <v>M3</v>
          </cell>
          <cell r="D61">
            <v>42.86</v>
          </cell>
        </row>
        <row r="62">
          <cell r="A62" t="str">
            <v>040402</v>
          </cell>
          <cell r="B62" t="str">
            <v>ADICIONAL DE PRECO PARA ESCAVACAO MANUAL, PROFUNDIDADE ATE 1,50 M</v>
          </cell>
          <cell r="C62" t="str">
            <v>M3</v>
          </cell>
          <cell r="D62">
            <v>12.56</v>
          </cell>
        </row>
        <row r="63">
          <cell r="A63" t="str">
            <v>040403</v>
          </cell>
          <cell r="B63" t="str">
            <v>ESCAVACAO QUALQUER TERRENO EXCETO ROCHA,  PROFUNDIDADE DE 1,50 M ATE 3,00 M</v>
          </cell>
          <cell r="C63" t="str">
            <v>M3</v>
          </cell>
          <cell r="D63">
            <v>3.37</v>
          </cell>
        </row>
        <row r="65">
          <cell r="A65" t="str">
            <v>040500</v>
          </cell>
          <cell r="B65" t="str">
            <v>ESCAVACAO DE VALAS - QUALQUER TERRENO EXCETO ROCHA- REDES COLETORAS</v>
          </cell>
        </row>
        <row r="66">
          <cell r="A66" t="str">
            <v>040501</v>
          </cell>
          <cell r="B66" t="str">
            <v>ATE 2,00 M DE PROFUNDIDADE (A)</v>
          </cell>
          <cell r="C66" t="str">
            <v>M3</v>
          </cell>
          <cell r="D66">
            <v>2.64</v>
          </cell>
        </row>
        <row r="67">
          <cell r="A67" t="str">
            <v>040502</v>
          </cell>
          <cell r="B67" t="str">
            <v>ATE 3,00 M DE PROFUNDIDADE (A)</v>
          </cell>
          <cell r="C67" t="str">
            <v>M3</v>
          </cell>
          <cell r="D67">
            <v>2.93</v>
          </cell>
        </row>
        <row r="68">
          <cell r="A68" t="str">
            <v>040503</v>
          </cell>
          <cell r="B68" t="str">
            <v>ATE 4,00 M DE PROFUNDIDADE (A)</v>
          </cell>
          <cell r="C68" t="str">
            <v>M3</v>
          </cell>
          <cell r="D68">
            <v>3.35</v>
          </cell>
        </row>
        <row r="69">
          <cell r="A69" t="str">
            <v>040504</v>
          </cell>
          <cell r="B69" t="str">
            <v>ATE 6,00 M DE PROFUNDIDADE (A)</v>
          </cell>
          <cell r="C69" t="str">
            <v>M3</v>
          </cell>
          <cell r="D69">
            <v>4.9400000000000004</v>
          </cell>
        </row>
        <row r="70">
          <cell r="A70" t="str">
            <v>040505</v>
          </cell>
          <cell r="B70" t="str">
            <v>ATE 8,00 M DE PROFUNDIDADE (A)</v>
          </cell>
          <cell r="C70" t="str">
            <v>M3</v>
          </cell>
          <cell r="D70">
            <v>7.64</v>
          </cell>
        </row>
        <row r="71">
          <cell r="A71" t="str">
            <v>040531</v>
          </cell>
          <cell r="B71" t="str">
            <v>ATE 2,00 M DE PROFUNDIDADE (B)</v>
          </cell>
          <cell r="C71" t="str">
            <v>M3</v>
          </cell>
          <cell r="D71">
            <v>2.11</v>
          </cell>
        </row>
        <row r="72">
          <cell r="A72" t="str">
            <v>040532</v>
          </cell>
          <cell r="B72" t="str">
            <v>ATE 3,00 M DE PROFUNDIDADE (B)</v>
          </cell>
          <cell r="C72" t="str">
            <v>M3</v>
          </cell>
          <cell r="D72">
            <v>2.3199999999999998</v>
          </cell>
        </row>
        <row r="73">
          <cell r="A73" t="str">
            <v>040533</v>
          </cell>
          <cell r="B73" t="str">
            <v>ATE 4,00 M DE PROFUNDIDADE (B)</v>
          </cell>
          <cell r="C73" t="str">
            <v>M3</v>
          </cell>
          <cell r="D73">
            <v>2.67</v>
          </cell>
        </row>
        <row r="74">
          <cell r="A74" t="str">
            <v>040534</v>
          </cell>
          <cell r="B74" t="str">
            <v>ATE 6,00 M DE PROFUNDIDADE (B)</v>
          </cell>
          <cell r="C74" t="str">
            <v>M3</v>
          </cell>
          <cell r="D74">
            <v>3.93</v>
          </cell>
        </row>
        <row r="75">
          <cell r="A75" t="str">
            <v>040535</v>
          </cell>
          <cell r="B75" t="str">
            <v>ATE 8,00 M DE PROFUNDIDADE (B)</v>
          </cell>
          <cell r="C75" t="str">
            <v>M3</v>
          </cell>
          <cell r="D75">
            <v>6.14</v>
          </cell>
        </row>
        <row r="76">
          <cell r="A76" t="str">
            <v>040551</v>
          </cell>
          <cell r="B76" t="str">
            <v>ATE 2,00 M DE PROFUNDIDADE (C)</v>
          </cell>
          <cell r="C76" t="str">
            <v>M3</v>
          </cell>
          <cell r="D76">
            <v>1.3</v>
          </cell>
        </row>
        <row r="77">
          <cell r="A77" t="str">
            <v>040552</v>
          </cell>
          <cell r="B77" t="str">
            <v>ATE 3,00 M DE PROFUNDIDADE (C)</v>
          </cell>
          <cell r="C77" t="str">
            <v>M3</v>
          </cell>
          <cell r="D77">
            <v>1.44</v>
          </cell>
        </row>
        <row r="78">
          <cell r="A78" t="str">
            <v>040553</v>
          </cell>
          <cell r="B78" t="str">
            <v>ATE 4,00 M DE PROFUNDIDADE (C)</v>
          </cell>
          <cell r="C78" t="str">
            <v>M3</v>
          </cell>
          <cell r="D78">
            <v>1.64</v>
          </cell>
        </row>
        <row r="79">
          <cell r="A79" t="str">
            <v>040554</v>
          </cell>
          <cell r="B79" t="str">
            <v>ATE 6,00 M DE PROFUNDIDADE (C)</v>
          </cell>
          <cell r="C79" t="str">
            <v>M3</v>
          </cell>
          <cell r="D79">
            <v>2.46</v>
          </cell>
        </row>
        <row r="80">
          <cell r="A80" t="str">
            <v>040555</v>
          </cell>
          <cell r="B80" t="str">
            <v>ATE 8,00 M DE PROFUNDIDADE (C)</v>
          </cell>
          <cell r="C80" t="str">
            <v>M3</v>
          </cell>
          <cell r="D80">
            <v>3.8</v>
          </cell>
        </row>
        <row r="82">
          <cell r="A82" t="str">
            <v>040600</v>
          </cell>
          <cell r="B82" t="str">
            <v>ESCAV.DE VALAS,QQ TERRENO EXCETO ROCHA-ADUTORAS,COLETORES TRONCO,INTERCEPTORES,EMISSARIOS E GALERIAS</v>
          </cell>
        </row>
        <row r="83">
          <cell r="A83" t="str">
            <v>040601</v>
          </cell>
          <cell r="B83" t="str">
            <v>ATE 2,00M DE PROFUNDIDADE (A)</v>
          </cell>
          <cell r="C83" t="str">
            <v>M3</v>
          </cell>
          <cell r="D83">
            <v>2.04</v>
          </cell>
        </row>
        <row r="84">
          <cell r="A84" t="str">
            <v>040602</v>
          </cell>
          <cell r="B84" t="str">
            <v>ALEM DE 2,00 M ATE 4,00 M DE PROFUNDIDADE (A)</v>
          </cell>
          <cell r="C84" t="str">
            <v>M3</v>
          </cell>
          <cell r="D84">
            <v>2.97</v>
          </cell>
        </row>
        <row r="85">
          <cell r="A85" t="str">
            <v>040603</v>
          </cell>
          <cell r="B85" t="str">
            <v>ALEM DE 4,00 M ATE 6,00 M DE PROFUNDIDADE (A)</v>
          </cell>
          <cell r="C85" t="str">
            <v>M3</v>
          </cell>
          <cell r="D85">
            <v>6.65</v>
          </cell>
        </row>
        <row r="86">
          <cell r="A86" t="str">
            <v>040604</v>
          </cell>
          <cell r="B86" t="str">
            <v>ALEM DE 6,00 M ATE 8,00 M DE PROFUNDIDADE (A)</v>
          </cell>
          <cell r="C86" t="str">
            <v>M3</v>
          </cell>
          <cell r="D86">
            <v>11.07</v>
          </cell>
        </row>
        <row r="87">
          <cell r="A87" t="str">
            <v>040631</v>
          </cell>
          <cell r="B87" t="str">
            <v>ATE 2,00 M DE PROFUNDIDADE (B)</v>
          </cell>
          <cell r="C87" t="str">
            <v>M3</v>
          </cell>
          <cell r="D87">
            <v>1.63</v>
          </cell>
        </row>
        <row r="88">
          <cell r="A88" t="str">
            <v>040632</v>
          </cell>
          <cell r="B88" t="str">
            <v>ALEM DE 2,00 M ATE 4,00 M DE PROFUNDIDADE (B)</v>
          </cell>
          <cell r="C88" t="str">
            <v>M3</v>
          </cell>
          <cell r="D88">
            <v>2.38</v>
          </cell>
        </row>
        <row r="89">
          <cell r="A89" t="str">
            <v>040633</v>
          </cell>
          <cell r="B89" t="str">
            <v>ALEM 4,00 M ATE 6,00 M DE PROFUNDIDADE (B)</v>
          </cell>
          <cell r="C89" t="str">
            <v>M3</v>
          </cell>
          <cell r="D89">
            <v>5.34</v>
          </cell>
        </row>
        <row r="90">
          <cell r="A90" t="str">
            <v>040634</v>
          </cell>
          <cell r="B90" t="str">
            <v>ALEM DE 6,00 M ATE 8,00 M DE PROFUNDIDADE (B)</v>
          </cell>
          <cell r="C90" t="str">
            <v>M3</v>
          </cell>
          <cell r="D90">
            <v>8.8800000000000008</v>
          </cell>
        </row>
        <row r="91">
          <cell r="A91" t="str">
            <v>040651</v>
          </cell>
          <cell r="B91" t="str">
            <v>ATE 2,00 M DE PROFUNDIDADE (C)</v>
          </cell>
          <cell r="C91" t="str">
            <v>M3</v>
          </cell>
          <cell r="D91">
            <v>1.01</v>
          </cell>
        </row>
        <row r="92">
          <cell r="A92" t="str">
            <v>040652</v>
          </cell>
          <cell r="B92" t="str">
            <v>ALEM DE 2,00 M ATE 4,00 M DE PROFUNDIDADE (C)</v>
          </cell>
          <cell r="C92" t="str">
            <v>M3</v>
          </cell>
          <cell r="D92">
            <v>1.48</v>
          </cell>
        </row>
        <row r="93">
          <cell r="A93" t="str">
            <v>040653</v>
          </cell>
          <cell r="B93" t="str">
            <v>ALEM DE 4,00 M ATE 6,00 M DE PROFUNDIDADE (C)</v>
          </cell>
          <cell r="C93" t="str">
            <v>M3</v>
          </cell>
          <cell r="D93">
            <v>3.32</v>
          </cell>
        </row>
        <row r="94">
          <cell r="A94" t="str">
            <v>040654</v>
          </cell>
          <cell r="B94" t="str">
            <v>ALEM DE 6,00 M ATE 8,00 M DE PROFUNDIDADE (C)</v>
          </cell>
          <cell r="C94" t="str">
            <v>M3</v>
          </cell>
          <cell r="D94">
            <v>5.51</v>
          </cell>
        </row>
        <row r="96">
          <cell r="A96" t="str">
            <v>040700</v>
          </cell>
          <cell r="B96" t="str">
            <v>ESCAVACAO MECANICA,QUALQUER TERRENO EXCETO ROCHA  DE POCOS E CAVAS</v>
          </cell>
        </row>
        <row r="97">
          <cell r="A97" t="str">
            <v>040701</v>
          </cell>
          <cell r="B97" t="str">
            <v>ATE 2,00M DE PROFUNDIDADE</v>
          </cell>
          <cell r="C97" t="str">
            <v>M3</v>
          </cell>
          <cell r="D97">
            <v>2.42</v>
          </cell>
        </row>
        <row r="98">
          <cell r="A98" t="str">
            <v>040702</v>
          </cell>
          <cell r="B98" t="str">
            <v>ALEM DE 2,00 M ATE 4,00 M DE PROFUNDIDADE</v>
          </cell>
          <cell r="C98" t="str">
            <v>M3</v>
          </cell>
          <cell r="D98">
            <v>3.51</v>
          </cell>
        </row>
        <row r="99">
          <cell r="A99" t="str">
            <v>040703</v>
          </cell>
          <cell r="B99" t="str">
            <v>ALEM DE 4,00 M ATE 6,00 M DE PROFUNDIDADE</v>
          </cell>
          <cell r="C99" t="str">
            <v>M3</v>
          </cell>
          <cell r="D99">
            <v>7.95</v>
          </cell>
        </row>
        <row r="100">
          <cell r="A100" t="str">
            <v>040704</v>
          </cell>
          <cell r="B100" t="str">
            <v>ALEM DE 6,00 M ATE 8,00 M DE PROFUNDIDADE</v>
          </cell>
          <cell r="C100" t="str">
            <v>M3</v>
          </cell>
          <cell r="D100">
            <v>13.28</v>
          </cell>
        </row>
        <row r="102">
          <cell r="A102" t="str">
            <v>040800</v>
          </cell>
          <cell r="B102" t="str">
            <v>ATERROS E RECOBRIMENTOS ESPECIAIS DE VALAS,CAVAS E POCOS</v>
          </cell>
        </row>
        <row r="103">
          <cell r="A103" t="str">
            <v>040801</v>
          </cell>
          <cell r="B103" t="str">
            <v>ADICIONAL DE PRECO PARA COMPACTACAO COM GC MAIOR OU IGUAL 95% PN, PROFUNDIDADE DA VALA ATE 1,50M (A)</v>
          </cell>
          <cell r="C103" t="str">
            <v>M3</v>
          </cell>
          <cell r="D103">
            <v>2.2000000000000002</v>
          </cell>
        </row>
        <row r="104">
          <cell r="A104" t="str">
            <v>040802</v>
          </cell>
          <cell r="B104" t="str">
            <v>ATERRO COMPACTADO SEM CONTROLE DE GC (A)</v>
          </cell>
          <cell r="C104" t="str">
            <v>M3</v>
          </cell>
          <cell r="D104">
            <v>5.51</v>
          </cell>
        </row>
        <row r="105">
          <cell r="A105" t="str">
            <v>040803</v>
          </cell>
          <cell r="B105" t="str">
            <v>ATERRO COMPACTADO COM GC MAIOR OU IGUAL 95 % PN (A)</v>
          </cell>
          <cell r="C105" t="str">
            <v>M3</v>
          </cell>
          <cell r="D105">
            <v>7.72</v>
          </cell>
        </row>
        <row r="106">
          <cell r="A106" t="str">
            <v>040804</v>
          </cell>
          <cell r="B106" t="str">
            <v>ATERRO COM AREIA (A)</v>
          </cell>
          <cell r="C106" t="str">
            <v>M3</v>
          </cell>
          <cell r="D106">
            <v>56.55</v>
          </cell>
        </row>
        <row r="107">
          <cell r="A107" t="str">
            <v>040805</v>
          </cell>
          <cell r="B107" t="str">
            <v>ENVOLTORIA COM AREIA (A)</v>
          </cell>
          <cell r="C107" t="str">
            <v>M3</v>
          </cell>
          <cell r="D107">
            <v>59.98</v>
          </cell>
        </row>
        <row r="108">
          <cell r="A108" t="str">
            <v>040806</v>
          </cell>
          <cell r="B108" t="str">
            <v>ENVOLTORIA DE CIMENTO E AREIA (A)</v>
          </cell>
          <cell r="C108" t="str">
            <v>M3</v>
          </cell>
          <cell r="D108">
            <v>151.93</v>
          </cell>
        </row>
        <row r="109">
          <cell r="A109" t="str">
            <v>040831</v>
          </cell>
          <cell r="B109" t="str">
            <v>ADICIONAL DE PRECO PARA COMPACTACAO COM GC MAIOR OU IGUAL 95% PN, PROFUNDIDADE DA VALA ATE 1,50M (B)</v>
          </cell>
          <cell r="C109" t="str">
            <v>M3</v>
          </cell>
          <cell r="D109">
            <v>1.78</v>
          </cell>
        </row>
        <row r="110">
          <cell r="A110" t="str">
            <v>040832</v>
          </cell>
          <cell r="B110" t="str">
            <v>ATERRO COMPACTADO SEM CONTROLE DE GC (B)</v>
          </cell>
          <cell r="C110" t="str">
            <v>M3</v>
          </cell>
          <cell r="D110">
            <v>4.4000000000000004</v>
          </cell>
        </row>
        <row r="111">
          <cell r="A111" t="str">
            <v>040833</v>
          </cell>
          <cell r="B111" t="str">
            <v>ATERRO COMPACTADO COM GC MAIOR OU IGUAL 95% PN (B)</v>
          </cell>
          <cell r="C111" t="str">
            <v>M3</v>
          </cell>
          <cell r="D111">
            <v>6.18</v>
          </cell>
        </row>
        <row r="112">
          <cell r="A112" t="str">
            <v>040834</v>
          </cell>
          <cell r="B112" t="str">
            <v>ATERRO COM AREIA (B)</v>
          </cell>
          <cell r="C112" t="str">
            <v>M3</v>
          </cell>
          <cell r="D112">
            <v>57.34</v>
          </cell>
        </row>
        <row r="113">
          <cell r="A113" t="str">
            <v>040835</v>
          </cell>
          <cell r="B113" t="str">
            <v>ENVOLTORIA COM AREIA (B)</v>
          </cell>
          <cell r="C113" t="str">
            <v>M3</v>
          </cell>
          <cell r="D113">
            <v>58</v>
          </cell>
        </row>
        <row r="114">
          <cell r="A114" t="str">
            <v>040836</v>
          </cell>
          <cell r="B114" t="str">
            <v>ENVOLTORIA DE CIMENTO COM AREIA (B)</v>
          </cell>
          <cell r="C114" t="str">
            <v>M3</v>
          </cell>
          <cell r="D114">
            <v>140.99</v>
          </cell>
        </row>
        <row r="115">
          <cell r="A115" t="str">
            <v>040851</v>
          </cell>
          <cell r="B115" t="str">
            <v>ADICIONAL DE PRECO PARA COMPACTACAO COM GC MAIOR OU IGUAL 95% PN, PROFUNDIDADE DA VALA ATE 1,50M (C)</v>
          </cell>
          <cell r="C115" t="str">
            <v>M3</v>
          </cell>
          <cell r="D115">
            <v>1.0900000000000001</v>
          </cell>
        </row>
        <row r="116">
          <cell r="A116" t="str">
            <v>040852</v>
          </cell>
          <cell r="B116" t="str">
            <v>ATERRO COMPACTADO SEM CONTROLE DE GC (C)</v>
          </cell>
          <cell r="C116" t="str">
            <v>M3</v>
          </cell>
          <cell r="D116">
            <v>2.75</v>
          </cell>
        </row>
        <row r="117">
          <cell r="A117" t="str">
            <v>040853</v>
          </cell>
          <cell r="B117" t="str">
            <v>ATERRO COMPACTADO COM GC MAIOR OU IGUAL A 95% PN (C)</v>
          </cell>
          <cell r="C117" t="str">
            <v>M3</v>
          </cell>
          <cell r="D117">
            <v>3.83</v>
          </cell>
        </row>
        <row r="118">
          <cell r="A118" t="str">
            <v>040854</v>
          </cell>
          <cell r="B118" t="str">
            <v>ATERRO COM AREIA (C)</v>
          </cell>
          <cell r="C118" t="str">
            <v>M3</v>
          </cell>
          <cell r="D118">
            <v>53.25</v>
          </cell>
        </row>
        <row r="119">
          <cell r="A119" t="str">
            <v>040855</v>
          </cell>
          <cell r="B119" t="str">
            <v>ENVOLTORIA COM AREIA (C)</v>
          </cell>
          <cell r="C119" t="str">
            <v>M3</v>
          </cell>
          <cell r="D119">
            <v>54.96</v>
          </cell>
        </row>
        <row r="120">
          <cell r="A120" t="str">
            <v>040856</v>
          </cell>
          <cell r="B120" t="str">
            <v>ENVOLTORIA DE CIMENTO E AREIA (C)</v>
          </cell>
          <cell r="C120" t="str">
            <v>M3</v>
          </cell>
          <cell r="D120">
            <v>124.55</v>
          </cell>
        </row>
        <row r="122">
          <cell r="A122" t="str">
            <v>040900</v>
          </cell>
          <cell r="B122" t="str">
            <v>MACICOS COMPACTADOS E COMPACTACAO DE AREAS</v>
          </cell>
        </row>
        <row r="123">
          <cell r="A123" t="str">
            <v>040901</v>
          </cell>
          <cell r="B123" t="str">
            <v>COMPACTACAO MECANIZADA DE AREAS COM GC MAIOR OU IGUAL 95 % PN</v>
          </cell>
          <cell r="C123" t="str">
            <v>M3</v>
          </cell>
          <cell r="D123">
            <v>2.48</v>
          </cell>
        </row>
        <row r="124">
          <cell r="A124" t="str">
            <v>040902</v>
          </cell>
          <cell r="B124" t="str">
            <v>COMPACTACAO MECANIZADA DE AREAS SEM CONTROLE DE GC</v>
          </cell>
          <cell r="C124" t="str">
            <v>M3</v>
          </cell>
          <cell r="D124">
            <v>1.18</v>
          </cell>
        </row>
        <row r="125">
          <cell r="A125" t="str">
            <v>040903</v>
          </cell>
          <cell r="B125" t="str">
            <v>MACICO DE TERRA (BARRAGENS)</v>
          </cell>
          <cell r="C125" t="str">
            <v>M3</v>
          </cell>
          <cell r="D125">
            <v>3.12</v>
          </cell>
        </row>
        <row r="126">
          <cell r="A126" t="str">
            <v>040904</v>
          </cell>
          <cell r="B126" t="str">
            <v>FILTRO DE AREIA</v>
          </cell>
          <cell r="C126" t="str">
            <v>M3</v>
          </cell>
          <cell r="D126">
            <v>77.59</v>
          </cell>
        </row>
        <row r="127">
          <cell r="A127" t="str">
            <v>040905</v>
          </cell>
          <cell r="B127" t="str">
            <v>FILTRO DE TRANSICAO</v>
          </cell>
          <cell r="C127" t="str">
            <v>M3</v>
          </cell>
          <cell r="D127">
            <v>70.37</v>
          </cell>
        </row>
        <row r="128">
          <cell r="A128" t="str">
            <v>040906</v>
          </cell>
          <cell r="B128" t="str">
            <v>MACICO DE ENROCAMENTO</v>
          </cell>
          <cell r="C128" t="str">
            <v>M3</v>
          </cell>
          <cell r="D128">
            <v>76.03</v>
          </cell>
        </row>
        <row r="129">
          <cell r="A129" t="str">
            <v>040907</v>
          </cell>
          <cell r="B129" t="str">
            <v>ENSECADEIRA COM SACOS DE AREIA (COM FORNECIMENTO DE AREIA)</v>
          </cell>
          <cell r="C129" t="str">
            <v>M3</v>
          </cell>
          <cell r="D129">
            <v>249.98</v>
          </cell>
        </row>
        <row r="130">
          <cell r="A130" t="str">
            <v>040908</v>
          </cell>
          <cell r="B130" t="str">
            <v>ENSECADEIRA COM SACOS (SEM FORNECIMENTO DE AREIA)</v>
          </cell>
          <cell r="C130" t="str">
            <v>M3</v>
          </cell>
          <cell r="D130">
            <v>204.02</v>
          </cell>
        </row>
        <row r="132">
          <cell r="A132" t="str">
            <v>041000</v>
          </cell>
          <cell r="B132" t="str">
            <v>CARGA, TRANSPORTE E DESCARGA</v>
          </cell>
        </row>
        <row r="133">
          <cell r="A133" t="str">
            <v>041001</v>
          </cell>
          <cell r="B133" t="str">
            <v>CARGA E DESCARGA DE SOLO (A)</v>
          </cell>
          <cell r="C133" t="str">
            <v>M3</v>
          </cell>
          <cell r="D133">
            <v>1.52</v>
          </cell>
        </row>
        <row r="134">
          <cell r="A134" t="str">
            <v>041002</v>
          </cell>
          <cell r="B134" t="str">
            <v>TRANSPORTE DE MATERIAL ESCAVADO - SOLO (A)</v>
          </cell>
          <cell r="C134" t="str">
            <v>M3XKM</v>
          </cell>
          <cell r="D134">
            <v>0.7</v>
          </cell>
        </row>
        <row r="135">
          <cell r="A135" t="str">
            <v>041003</v>
          </cell>
          <cell r="B135" t="str">
            <v>CARGA E DESCARGA DE ROCHA (A)</v>
          </cell>
          <cell r="C135" t="str">
            <v>M3</v>
          </cell>
          <cell r="D135">
            <v>1.82</v>
          </cell>
        </row>
        <row r="136">
          <cell r="A136" t="str">
            <v>041004</v>
          </cell>
          <cell r="B136" t="str">
            <v>TRANSPORTE DE MATERIAL ESCAVADO - ROCHA (A)</v>
          </cell>
          <cell r="C136" t="str">
            <v>M3XKM</v>
          </cell>
          <cell r="D136">
            <v>1.06</v>
          </cell>
        </row>
        <row r="137">
          <cell r="A137" t="str">
            <v>041031</v>
          </cell>
          <cell r="B137" t="str">
            <v>CARGA E DESCARGA DE SOLO (B)</v>
          </cell>
          <cell r="C137" t="str">
            <v>M3</v>
          </cell>
          <cell r="D137">
            <v>1.19</v>
          </cell>
        </row>
        <row r="138">
          <cell r="A138" t="str">
            <v>041032</v>
          </cell>
          <cell r="B138" t="str">
            <v>TRANSPORTE DE MATERIAL ESCAVADO - SOLO (B)</v>
          </cell>
          <cell r="C138" t="str">
            <v>M3XKM</v>
          </cell>
          <cell r="D138">
            <v>0.56999999999999995</v>
          </cell>
        </row>
        <row r="139">
          <cell r="A139" t="str">
            <v>041033</v>
          </cell>
          <cell r="B139" t="str">
            <v>CARGA E DESCARGA DE ROCHA (B)</v>
          </cell>
          <cell r="C139" t="str">
            <v>M3</v>
          </cell>
          <cell r="D139">
            <v>1.47</v>
          </cell>
        </row>
        <row r="140">
          <cell r="A140" t="str">
            <v>041034</v>
          </cell>
          <cell r="B140" t="str">
            <v>TRANSPORTE DE MATERIAL ESCAVADO - ROCHA (B)</v>
          </cell>
          <cell r="C140" t="str">
            <v>M3XKM</v>
          </cell>
          <cell r="D140">
            <v>0.85</v>
          </cell>
        </row>
        <row r="141">
          <cell r="A141" t="str">
            <v>041051</v>
          </cell>
          <cell r="B141" t="str">
            <v>CARGA E DESCARGA DE SOLO (C)</v>
          </cell>
          <cell r="C141" t="str">
            <v>M3</v>
          </cell>
          <cell r="D141">
            <v>0.73</v>
          </cell>
        </row>
        <row r="142">
          <cell r="A142" t="str">
            <v>041052</v>
          </cell>
          <cell r="B142" t="str">
            <v>TRANSPORTE DE MATERIAL ESCAVADO - SOLO (C)</v>
          </cell>
          <cell r="C142" t="str">
            <v>M3XKM</v>
          </cell>
          <cell r="D142">
            <v>0.34</v>
          </cell>
        </row>
        <row r="143">
          <cell r="A143" t="str">
            <v>041053</v>
          </cell>
          <cell r="B143" t="str">
            <v>CARGA E DESCARGA DE ROCHA (C)</v>
          </cell>
          <cell r="C143" t="str">
            <v>M3</v>
          </cell>
          <cell r="D143">
            <v>0.9</v>
          </cell>
        </row>
        <row r="144">
          <cell r="A144" t="str">
            <v>041054</v>
          </cell>
          <cell r="B144" t="str">
            <v>TRANSPORTE DE MATERIAL ESCAVADO - ROCHA (C)</v>
          </cell>
          <cell r="C144" t="str">
            <v>M3XKM</v>
          </cell>
          <cell r="D144">
            <v>0.53</v>
          </cell>
        </row>
        <row r="146">
          <cell r="A146" t="str">
            <v>050000</v>
          </cell>
          <cell r="B146" t="str">
            <v>ESCORAMENTOS</v>
          </cell>
        </row>
        <row r="147">
          <cell r="A147" t="str">
            <v>050100</v>
          </cell>
          <cell r="B147" t="str">
            <v>ESTRUTURAS DE ESCORAMENTO - MADEIRA</v>
          </cell>
        </row>
        <row r="148">
          <cell r="A148" t="str">
            <v>050101</v>
          </cell>
          <cell r="B148" t="str">
            <v>PONTALETEAMENTO (A)</v>
          </cell>
          <cell r="C148" t="str">
            <v>M2</v>
          </cell>
          <cell r="D148">
            <v>3.47</v>
          </cell>
        </row>
        <row r="149">
          <cell r="A149" t="str">
            <v>050102</v>
          </cell>
          <cell r="B149" t="str">
            <v>ESCORAMENTO DESCONTINUO (A)</v>
          </cell>
          <cell r="C149" t="str">
            <v>M2</v>
          </cell>
          <cell r="D149">
            <v>8.77</v>
          </cell>
        </row>
        <row r="150">
          <cell r="A150" t="str">
            <v>050103</v>
          </cell>
          <cell r="B150" t="str">
            <v>ESCORAMENTO CONTINUO (A)</v>
          </cell>
          <cell r="C150" t="str">
            <v>M2</v>
          </cell>
          <cell r="D150">
            <v>13.81</v>
          </cell>
        </row>
        <row r="151">
          <cell r="A151" t="str">
            <v>050104</v>
          </cell>
          <cell r="B151" t="str">
            <v>ESCORAMENTO ESPECIAL (A)</v>
          </cell>
          <cell r="C151" t="str">
            <v>M2</v>
          </cell>
          <cell r="D151">
            <v>23.58</v>
          </cell>
        </row>
        <row r="152">
          <cell r="A152" t="str">
            <v>050131</v>
          </cell>
          <cell r="B152" t="str">
            <v>PONTALETEAMENTO (B)</v>
          </cell>
          <cell r="C152" t="str">
            <v>M2</v>
          </cell>
          <cell r="D152">
            <v>3.08</v>
          </cell>
        </row>
        <row r="153">
          <cell r="A153" t="str">
            <v>050132</v>
          </cell>
          <cell r="B153" t="str">
            <v>ESCORAMENTO DESCONTINUO (B)</v>
          </cell>
          <cell r="C153" t="str">
            <v>M2</v>
          </cell>
          <cell r="D153">
            <v>7.83</v>
          </cell>
        </row>
        <row r="154">
          <cell r="A154" t="str">
            <v>050133</v>
          </cell>
          <cell r="B154" t="str">
            <v>ESCORAMENTO CONTINUO (B)</v>
          </cell>
          <cell r="C154" t="str">
            <v>M2</v>
          </cell>
          <cell r="D154">
            <v>12.36</v>
          </cell>
        </row>
        <row r="155">
          <cell r="A155" t="str">
            <v>050134</v>
          </cell>
          <cell r="B155" t="str">
            <v>ESCORAMENTO ESPECIAL (B)</v>
          </cell>
          <cell r="C155" t="str">
            <v>M2</v>
          </cell>
          <cell r="D155">
            <v>20.77</v>
          </cell>
        </row>
        <row r="156">
          <cell r="A156" t="str">
            <v>050151</v>
          </cell>
          <cell r="B156" t="str">
            <v>PONTALETEAMENTO (C)</v>
          </cell>
          <cell r="C156" t="str">
            <v>M2</v>
          </cell>
          <cell r="D156">
            <v>2.52</v>
          </cell>
        </row>
        <row r="157">
          <cell r="A157" t="str">
            <v>050152</v>
          </cell>
          <cell r="B157" t="str">
            <v>ESCORAMENTO DESCONTINUO (C)</v>
          </cell>
          <cell r="C157" t="str">
            <v>M2</v>
          </cell>
          <cell r="D157">
            <v>6.35</v>
          </cell>
        </row>
        <row r="158">
          <cell r="A158" t="str">
            <v>050153</v>
          </cell>
          <cell r="B158" t="str">
            <v>ESCORAMENTO CONTINUO (C)</v>
          </cell>
          <cell r="C158" t="str">
            <v>M2</v>
          </cell>
          <cell r="D158">
            <v>10.14</v>
          </cell>
        </row>
        <row r="159">
          <cell r="A159" t="str">
            <v>050154</v>
          </cell>
          <cell r="B159" t="str">
            <v>ESCORAMENTO ESPECIAL (C)</v>
          </cell>
          <cell r="C159" t="str">
            <v>M2</v>
          </cell>
          <cell r="D159">
            <v>16.579999999999998</v>
          </cell>
        </row>
        <row r="161">
          <cell r="A161" t="str">
            <v>050200</v>
          </cell>
          <cell r="B161" t="str">
            <v>ESTRUTURAS DE ESCORAMENTO METALICO - MADEIRA PARA VALAS</v>
          </cell>
        </row>
        <row r="162">
          <cell r="A162" t="str">
            <v>050201</v>
          </cell>
          <cell r="B162" t="str">
            <v>ESCORAMENTO COM 1 QUADRO  - LONGARINAS E ESTRONCAS METALICAS (A)</v>
          </cell>
          <cell r="C162" t="str">
            <v>M2</v>
          </cell>
          <cell r="D162">
            <v>53.33</v>
          </cell>
        </row>
        <row r="163">
          <cell r="A163" t="str">
            <v>050202</v>
          </cell>
          <cell r="B163" t="str">
            <v>ESCORAMENTO COM 2 QUADROS - LONGARINAS E ESTRONCAS METALICAS (A)</v>
          </cell>
          <cell r="C163" t="str">
            <v>M2</v>
          </cell>
          <cell r="D163">
            <v>56.61</v>
          </cell>
        </row>
        <row r="164">
          <cell r="A164" t="str">
            <v>050203</v>
          </cell>
          <cell r="B164" t="str">
            <v>ESCORAMENTO COM 3 QUADROS - LONGARINAS E ENTRONCAS METALICAS (A)</v>
          </cell>
          <cell r="C164" t="str">
            <v>M2</v>
          </cell>
          <cell r="D164">
            <v>61.33</v>
          </cell>
        </row>
        <row r="165">
          <cell r="A165" t="str">
            <v>050204</v>
          </cell>
          <cell r="B165" t="str">
            <v>ESCORAMENTO COM 1 QUADRO - ESTRONCAS DE MADEIRA SEM LONGARINAS (A)</v>
          </cell>
          <cell r="C165" t="str">
            <v>M2</v>
          </cell>
          <cell r="D165">
            <v>42.24</v>
          </cell>
        </row>
        <row r="166">
          <cell r="A166" t="str">
            <v>050205</v>
          </cell>
          <cell r="B166" t="str">
            <v>ESCORAMENTO COM 2 QUADROS - ESTRONCAS DE MADEIRA SEM LONGARINAS (A)</v>
          </cell>
          <cell r="C166" t="str">
            <v>M2</v>
          </cell>
          <cell r="D166">
            <v>45.63</v>
          </cell>
        </row>
        <row r="167">
          <cell r="A167" t="str">
            <v>050206</v>
          </cell>
          <cell r="B167" t="str">
            <v>ESCORAMENTO COM 3 QUADROS - ESTRONCAS DE MADEIRA SEM LONGARINAS (A)</v>
          </cell>
          <cell r="C167" t="str">
            <v>M2</v>
          </cell>
          <cell r="D167">
            <v>49.71</v>
          </cell>
        </row>
        <row r="168">
          <cell r="A168" t="str">
            <v>050231</v>
          </cell>
          <cell r="B168" t="str">
            <v>ESCORAMENTO COM 1 QUADRO - LONGARINAS E ESTRONCAS METALICAS (B)</v>
          </cell>
          <cell r="C168" t="str">
            <v>M2</v>
          </cell>
          <cell r="D168">
            <v>45.48</v>
          </cell>
        </row>
        <row r="169">
          <cell r="A169" t="str">
            <v>050232</v>
          </cell>
          <cell r="B169" t="str">
            <v>ESCORAMENTO COM 2 QUADROS - LONGARINAS E ESTRONCAS METALICAS (B)</v>
          </cell>
          <cell r="C169" t="str">
            <v>M2</v>
          </cell>
          <cell r="D169">
            <v>48.18</v>
          </cell>
        </row>
        <row r="170">
          <cell r="A170" t="str">
            <v>050233</v>
          </cell>
          <cell r="B170" t="str">
            <v>ESCORAMENTO COM 3 QUADROS - LONGARINAS E ESTRONCAS METALICAS (B)</v>
          </cell>
          <cell r="C170" t="str">
            <v>M2</v>
          </cell>
          <cell r="D170">
            <v>52.29</v>
          </cell>
        </row>
        <row r="171">
          <cell r="A171" t="str">
            <v>050234</v>
          </cell>
          <cell r="B171" t="str">
            <v>ESCORAMENTO COM 1 QUADRO - ESTRONCAS DE MADEIRA SEM LONGARINAS (B)</v>
          </cell>
          <cell r="C171" t="str">
            <v>M2</v>
          </cell>
          <cell r="D171">
            <v>35.799999999999997</v>
          </cell>
        </row>
        <row r="172">
          <cell r="A172" t="str">
            <v>050235</v>
          </cell>
          <cell r="B172" t="str">
            <v>ESCORAMENTO COM 2 QUADROS - ESTRONCAS DE MADEIRA SEM LONGARINAS (B)</v>
          </cell>
          <cell r="C172" t="str">
            <v>M2</v>
          </cell>
          <cell r="D172">
            <v>38.58</v>
          </cell>
        </row>
        <row r="173">
          <cell r="A173" t="str">
            <v>050236</v>
          </cell>
          <cell r="B173" t="str">
            <v>ESCORAMENTO COM 3 QUADROS - ESTRONCAS DE MADEIRA SEM LONGARINAS (B)</v>
          </cell>
          <cell r="C173" t="str">
            <v>M2</v>
          </cell>
          <cell r="D173">
            <v>42.01</v>
          </cell>
        </row>
        <row r="174">
          <cell r="A174" t="str">
            <v>050251</v>
          </cell>
          <cell r="B174" t="str">
            <v>ESCORAMENTO COM 1 QUADRO - LONGARINAS E ESTRONCAS METALICAS (C)</v>
          </cell>
          <cell r="C174" t="str">
            <v>M2</v>
          </cell>
          <cell r="D174">
            <v>33.75</v>
          </cell>
        </row>
        <row r="175">
          <cell r="A175" t="str">
            <v>050252</v>
          </cell>
          <cell r="B175" t="str">
            <v>ESCORAMENTO COM 2 QUADROS - LONGARINAS E ESTRONCAS METALICAS (C)</v>
          </cell>
          <cell r="C175" t="str">
            <v>M2</v>
          </cell>
          <cell r="D175">
            <v>35.64</v>
          </cell>
        </row>
        <row r="176">
          <cell r="A176" t="str">
            <v>050253</v>
          </cell>
          <cell r="B176" t="str">
            <v>ESCORAMENTO COM 3 QUADROS - LONGARINAS E ESTRONCAS METALICAS (C)</v>
          </cell>
          <cell r="C176" t="str">
            <v>M2</v>
          </cell>
          <cell r="D176">
            <v>38.71</v>
          </cell>
        </row>
        <row r="177">
          <cell r="A177" t="str">
            <v>050254</v>
          </cell>
          <cell r="B177" t="str">
            <v>ESCORAMENTO COM 1 QUADRO - ESTRONCAS DE MADEIRA SEM LONGARINAS (C)</v>
          </cell>
          <cell r="C177" t="str">
            <v>M2</v>
          </cell>
          <cell r="D177">
            <v>26.13</v>
          </cell>
        </row>
        <row r="178">
          <cell r="A178" t="str">
            <v>050255</v>
          </cell>
          <cell r="B178" t="str">
            <v>ESCORAMENTO COM 2 QUADROS - ESTRONCAS DE MADEIRA SEM LONGARINAS (C)</v>
          </cell>
          <cell r="C178" t="str">
            <v>M2</v>
          </cell>
          <cell r="D178">
            <v>28.1</v>
          </cell>
        </row>
        <row r="179">
          <cell r="A179" t="str">
            <v>050256</v>
          </cell>
          <cell r="B179" t="str">
            <v>ESCORAMENTO COM 3 QUADROS - ESTRONCAS DE MADEIRA SEM LONGARINAS (C)</v>
          </cell>
          <cell r="C179" t="str">
            <v>M2</v>
          </cell>
          <cell r="D179">
            <v>30.16</v>
          </cell>
        </row>
        <row r="181">
          <cell r="A181" t="str">
            <v>050300</v>
          </cell>
          <cell r="B181" t="str">
            <v>ESTRUTURAS DE ESCORAMENTO METALICO - MADEIRA PARA POCOS E CAVAS</v>
          </cell>
        </row>
        <row r="182">
          <cell r="A182" t="str">
            <v>050301</v>
          </cell>
          <cell r="B182" t="str">
            <v>ESCORAMENTO COM 1 QUADRO  - LONGARINAS E ESTRONCAS METALICAS</v>
          </cell>
          <cell r="C182" t="str">
            <v>M2</v>
          </cell>
          <cell r="D182">
            <v>65.099999999999994</v>
          </cell>
        </row>
        <row r="183">
          <cell r="A183" t="str">
            <v>050302</v>
          </cell>
          <cell r="B183" t="str">
            <v>ESCORAMENTO COM 2 QUADROS - LONGARINAS E ENTRONCAS METALICAS</v>
          </cell>
          <cell r="C183" t="str">
            <v>M2</v>
          </cell>
          <cell r="D183">
            <v>68.86</v>
          </cell>
        </row>
        <row r="184">
          <cell r="A184" t="str">
            <v>050303</v>
          </cell>
          <cell r="B184" t="str">
            <v>ESCORAMENTO COM 3 QUADROS - LONGARINAS E ESTRONCAS METALICAS</v>
          </cell>
          <cell r="C184" t="str">
            <v>M2</v>
          </cell>
          <cell r="D184">
            <v>74.489999999999995</v>
          </cell>
        </row>
        <row r="186">
          <cell r="A186" t="str">
            <v>050400</v>
          </cell>
          <cell r="B186" t="str">
            <v>SERVICOS E  ELEMENTOS ADICIONAIS AS ESTRUTURAS DE ESCORAMENTO EM MADEIRA E METALICO - MADEIRA</v>
          </cell>
        </row>
        <row r="187">
          <cell r="A187" t="str">
            <v>050401</v>
          </cell>
          <cell r="B187" t="str">
            <v>MATERIAL PERDIDO - MADEIRA</v>
          </cell>
          <cell r="C187" t="str">
            <v>M3</v>
          </cell>
          <cell r="D187">
            <v>250.04</v>
          </cell>
        </row>
        <row r="188">
          <cell r="A188" t="str">
            <v>050402</v>
          </cell>
          <cell r="B188" t="str">
            <v>MATERIAL PERDIDO - METALICO</v>
          </cell>
          <cell r="C188" t="str">
            <v>KG</v>
          </cell>
          <cell r="D188">
            <v>0.57999999999999996</v>
          </cell>
        </row>
        <row r="189">
          <cell r="A189" t="str">
            <v>050403</v>
          </cell>
          <cell r="B189" t="str">
            <v>MATERIAL PERDIDO - ESTRONCA DE EUCALIPTO</v>
          </cell>
          <cell r="C189" t="str">
            <v>M</v>
          </cell>
          <cell r="D189">
            <v>2.2799999999999998</v>
          </cell>
        </row>
        <row r="191">
          <cell r="A191" t="str">
            <v>050500</v>
          </cell>
          <cell r="B191" t="str">
            <v>ESTRUTURAS DE CIMBRAMENTO</v>
          </cell>
        </row>
        <row r="192">
          <cell r="A192" t="str">
            <v>050501</v>
          </cell>
          <cell r="B192" t="str">
            <v>CIMBRAMENTO DE MADEIRA</v>
          </cell>
          <cell r="C192" t="str">
            <v>M3</v>
          </cell>
          <cell r="D192">
            <v>17.86</v>
          </cell>
        </row>
        <row r="193">
          <cell r="A193" t="str">
            <v>050502</v>
          </cell>
          <cell r="B193" t="str">
            <v>CIMBRAMENTO TUBULAR</v>
          </cell>
          <cell r="C193" t="str">
            <v>M3XME</v>
          </cell>
          <cell r="D193">
            <v>8.1999999999999993</v>
          </cell>
        </row>
        <row r="195">
          <cell r="A195" t="str">
            <v>060000</v>
          </cell>
          <cell r="B195" t="str">
            <v>ESGOTAMENTOS</v>
          </cell>
        </row>
        <row r="196">
          <cell r="A196" t="str">
            <v>060100</v>
          </cell>
          <cell r="B196" t="str">
            <v>AGUAS SUPERFICIAIS</v>
          </cell>
        </row>
        <row r="197">
          <cell r="A197" t="str">
            <v>060101</v>
          </cell>
          <cell r="B197" t="str">
            <v>ESGOTAMENTO COM BOMBAS DE SUPERFICIE OU SUBMERSAS</v>
          </cell>
          <cell r="C197" t="str">
            <v>HPXH</v>
          </cell>
          <cell r="D197">
            <v>0.42</v>
          </cell>
        </row>
        <row r="199">
          <cell r="A199" t="str">
            <v>060200</v>
          </cell>
          <cell r="B199" t="str">
            <v>REBAIXAMENTO DE LENCOL FREATICO</v>
          </cell>
        </row>
        <row r="201">
          <cell r="A201" t="str">
            <v>060300</v>
          </cell>
          <cell r="B201" t="str">
            <v>MEIA CANA DE CONCRETO</v>
          </cell>
        </row>
        <row r="202">
          <cell r="A202" t="str">
            <v>060301</v>
          </cell>
          <cell r="B202" t="str">
            <v>MEIA CANA DE CONCRETO, DIAMETRO 200 MM</v>
          </cell>
          <cell r="C202" t="str">
            <v>M</v>
          </cell>
          <cell r="D202">
            <v>16.37</v>
          </cell>
        </row>
        <row r="203">
          <cell r="A203" t="str">
            <v>060302</v>
          </cell>
          <cell r="B203" t="str">
            <v>MEIA CANA DE CONCRETO, DIAMETRO 300 MM</v>
          </cell>
          <cell r="C203" t="str">
            <v>M</v>
          </cell>
          <cell r="D203">
            <v>22.26</v>
          </cell>
        </row>
        <row r="204">
          <cell r="A204" t="str">
            <v>060303</v>
          </cell>
          <cell r="B204" t="str">
            <v>MEIA CANA DE CONCRETO, DIAMETRO 400 MM</v>
          </cell>
          <cell r="C204" t="str">
            <v>M</v>
          </cell>
          <cell r="D204">
            <v>26.71</v>
          </cell>
        </row>
        <row r="205">
          <cell r="A205" t="str">
            <v>060304</v>
          </cell>
          <cell r="B205" t="str">
            <v>MEIA CANA DE CONCRETO, DIAMETRO 500 MM</v>
          </cell>
          <cell r="C205" t="str">
            <v>M</v>
          </cell>
          <cell r="D205">
            <v>40.4</v>
          </cell>
        </row>
        <row r="206">
          <cell r="A206" t="str">
            <v>060305</v>
          </cell>
          <cell r="B206" t="str">
            <v>MEIA CANA DE CONCRETO, DIAMETRO 600 MM</v>
          </cell>
          <cell r="C206" t="str">
            <v>M</v>
          </cell>
          <cell r="D206">
            <v>40.409999999999997</v>
          </cell>
        </row>
        <row r="208">
          <cell r="A208" t="str">
            <v>060400</v>
          </cell>
          <cell r="B208" t="str">
            <v>DRENAGEM SUBTERRANEA</v>
          </cell>
        </row>
        <row r="209">
          <cell r="A209" t="str">
            <v>060401</v>
          </cell>
          <cell r="B209" t="str">
            <v>DRENAGEM COM TUBOS DE PVC</v>
          </cell>
          <cell r="C209" t="str">
            <v>M</v>
          </cell>
          <cell r="D209">
            <v>35.67</v>
          </cell>
        </row>
        <row r="210">
          <cell r="A210" t="str">
            <v>060402</v>
          </cell>
          <cell r="B210" t="str">
            <v>DRENAGEM COM TUBOS CERAMICOS</v>
          </cell>
          <cell r="C210" t="str">
            <v>M</v>
          </cell>
          <cell r="D210">
            <v>26.22</v>
          </cell>
        </row>
        <row r="211">
          <cell r="A211" t="str">
            <v>060403</v>
          </cell>
          <cell r="B211" t="str">
            <v>DRENAGEM COM TUBOS DE CONCRETO</v>
          </cell>
          <cell r="C211" t="str">
            <v>M</v>
          </cell>
          <cell r="D211">
            <v>30.27</v>
          </cell>
        </row>
        <row r="212">
          <cell r="A212" t="str">
            <v>060404</v>
          </cell>
          <cell r="B212" t="str">
            <v>DRENAGEM COM MANTA NAO TECIDA DE POLIESTER</v>
          </cell>
          <cell r="C212" t="str">
            <v>M2</v>
          </cell>
          <cell r="D212">
            <v>3.95</v>
          </cell>
        </row>
        <row r="213">
          <cell r="A213" t="str">
            <v>060405</v>
          </cell>
          <cell r="B213" t="str">
            <v>DRENO VERTICAL DE PEDRISCO</v>
          </cell>
          <cell r="C213" t="str">
            <v>M</v>
          </cell>
          <cell r="D213">
            <v>9.84</v>
          </cell>
        </row>
        <row r="215">
          <cell r="A215" t="str">
            <v>060500</v>
          </cell>
          <cell r="B215" t="str">
            <v>DRENAGEM COM CALHA</v>
          </cell>
        </row>
        <row r="216">
          <cell r="A216" t="str">
            <v>060501</v>
          </cell>
          <cell r="B216" t="str">
            <v>DRENAGEM COM CANALETE 49 OU 45</v>
          </cell>
          <cell r="C216" t="str">
            <v>M</v>
          </cell>
          <cell r="D216">
            <v>20.079999999999998</v>
          </cell>
        </row>
        <row r="218">
          <cell r="A218" t="str">
            <v>070000</v>
          </cell>
          <cell r="B218" t="str">
            <v>OBRAS DE CONTENCAO</v>
          </cell>
        </row>
        <row r="219">
          <cell r="A219" t="str">
            <v>070100</v>
          </cell>
          <cell r="B219" t="str">
            <v>PROTECOES</v>
          </cell>
        </row>
        <row r="220">
          <cell r="A220" t="str">
            <v>070101</v>
          </cell>
          <cell r="B220" t="str">
            <v>PROTECAO COM PEDRA DE MAO SEM MANTA</v>
          </cell>
          <cell r="C220" t="str">
            <v>M3</v>
          </cell>
          <cell r="D220">
            <v>138.57</v>
          </cell>
        </row>
        <row r="221">
          <cell r="A221" t="str">
            <v>070102</v>
          </cell>
          <cell r="B221" t="str">
            <v>PROTECAO COM PEDRA DE MAO E MANTA</v>
          </cell>
          <cell r="C221" t="str">
            <v>M3</v>
          </cell>
          <cell r="D221">
            <v>144.62</v>
          </cell>
        </row>
        <row r="222">
          <cell r="A222" t="str">
            <v>070103</v>
          </cell>
          <cell r="B222" t="str">
            <v>PROTECAO COM GABIOES</v>
          </cell>
          <cell r="C222" t="str">
            <v>M3</v>
          </cell>
          <cell r="D222">
            <v>222.17</v>
          </cell>
        </row>
        <row r="223">
          <cell r="A223" t="str">
            <v>070104</v>
          </cell>
          <cell r="B223" t="str">
            <v>PROTECAO COM MANTA NAO TECIDA DE POLIESTER</v>
          </cell>
          <cell r="C223" t="str">
            <v>KG</v>
          </cell>
          <cell r="D223">
            <v>17.72</v>
          </cell>
        </row>
        <row r="224">
          <cell r="A224" t="str">
            <v>070105</v>
          </cell>
          <cell r="B224" t="str">
            <v>PROTECAO COM PINTURA BETUMINOSA</v>
          </cell>
          <cell r="C224" t="str">
            <v>M2</v>
          </cell>
          <cell r="D224">
            <v>9.76</v>
          </cell>
        </row>
        <row r="226">
          <cell r="A226" t="str">
            <v>080000</v>
          </cell>
          <cell r="B226" t="str">
            <v>FUNDACOES E ESTRUTURAS</v>
          </cell>
        </row>
        <row r="227">
          <cell r="A227" t="str">
            <v>080100</v>
          </cell>
          <cell r="B227" t="str">
            <v>ESTACAS</v>
          </cell>
        </row>
        <row r="228">
          <cell r="A228" t="str">
            <v>080101</v>
          </cell>
          <cell r="B228" t="str">
            <v>ESTACA DE EUCALIPTO (COM CASCA), DIAMETRO 20 CM</v>
          </cell>
          <cell r="C228" t="str">
            <v>M</v>
          </cell>
          <cell r="D228">
            <v>22.92</v>
          </cell>
        </row>
        <row r="229">
          <cell r="A229" t="str">
            <v>080102</v>
          </cell>
          <cell r="B229" t="str">
            <v>ESTACA DE EUCALIPTO (COM CASCA), DIAMETRO 25 CM</v>
          </cell>
          <cell r="C229" t="str">
            <v>M</v>
          </cell>
          <cell r="D229">
            <v>29.19</v>
          </cell>
        </row>
        <row r="230">
          <cell r="A230" t="str">
            <v>080103</v>
          </cell>
          <cell r="B230" t="str">
            <v>ESTACA DE EUCALIPTO (COM CASCA), DIAMETRO 30 CM</v>
          </cell>
          <cell r="C230" t="str">
            <v>M</v>
          </cell>
          <cell r="D230">
            <v>39.24</v>
          </cell>
        </row>
        <row r="231">
          <cell r="A231" t="str">
            <v>080104</v>
          </cell>
          <cell r="B231" t="str">
            <v>ESTACA DE CONCRETO, CAPACIDADE 20 T</v>
          </cell>
          <cell r="C231" t="str">
            <v>M</v>
          </cell>
          <cell r="D231">
            <v>39.11</v>
          </cell>
        </row>
        <row r="232">
          <cell r="A232" t="str">
            <v>080105</v>
          </cell>
          <cell r="B232" t="str">
            <v>ESTACA DE CONCRETO, CAPACIDADE 30 T</v>
          </cell>
          <cell r="C232" t="str">
            <v>M</v>
          </cell>
          <cell r="D232">
            <v>45.03</v>
          </cell>
        </row>
        <row r="233">
          <cell r="A233" t="str">
            <v>080106</v>
          </cell>
          <cell r="B233" t="str">
            <v>ESTACA DE CONCRETO, CAPACIDADE 40 T</v>
          </cell>
          <cell r="C233" t="str">
            <v>M</v>
          </cell>
          <cell r="D233">
            <v>53.43</v>
          </cell>
        </row>
        <row r="234">
          <cell r="A234" t="str">
            <v>080107</v>
          </cell>
          <cell r="B234" t="str">
            <v>ESTACA DE CONCRETO, CAPACIDADE 60 T</v>
          </cell>
          <cell r="C234" t="str">
            <v>M</v>
          </cell>
          <cell r="D234">
            <v>75.88</v>
          </cell>
        </row>
        <row r="235">
          <cell r="A235" t="str">
            <v>080108</v>
          </cell>
          <cell r="B235" t="str">
            <v>ESTACA DE CONCRETO, CAPACIDADE 80 T</v>
          </cell>
          <cell r="C235" t="str">
            <v>M</v>
          </cell>
          <cell r="D235">
            <v>103</v>
          </cell>
        </row>
        <row r="237">
          <cell r="A237" t="str">
            <v>080200</v>
          </cell>
          <cell r="B237" t="str">
            <v>BROCAS DE CONCRETO</v>
          </cell>
        </row>
        <row r="238">
          <cell r="A238" t="str">
            <v>080201</v>
          </cell>
          <cell r="B238" t="str">
            <v>BROCA DE CONCRETO, DIAMETRO 15 CM</v>
          </cell>
          <cell r="C238" t="str">
            <v>M</v>
          </cell>
          <cell r="D238">
            <v>19.489999999999998</v>
          </cell>
        </row>
        <row r="239">
          <cell r="A239" t="str">
            <v>080202</v>
          </cell>
          <cell r="B239" t="str">
            <v>BROCA DE CONCRETO, DIAMETRO 20 CM</v>
          </cell>
          <cell r="C239" t="str">
            <v>M</v>
          </cell>
          <cell r="D239">
            <v>24.95</v>
          </cell>
        </row>
        <row r="240">
          <cell r="A240" t="str">
            <v>080203</v>
          </cell>
          <cell r="B240" t="str">
            <v>BROCA DE CONCRETO, DIAMETRO 25 CM</v>
          </cell>
          <cell r="C240" t="str">
            <v>M</v>
          </cell>
          <cell r="D240">
            <v>34.22</v>
          </cell>
        </row>
        <row r="242">
          <cell r="A242" t="str">
            <v>080300</v>
          </cell>
          <cell r="B242" t="str">
            <v>TUBULOES</v>
          </cell>
        </row>
        <row r="243">
          <cell r="A243" t="str">
            <v>080301</v>
          </cell>
          <cell r="B243" t="str">
            <v>ESCAVACAO PARA TUBULAO - FUSTE</v>
          </cell>
          <cell r="C243" t="str">
            <v>M3</v>
          </cell>
          <cell r="D243">
            <v>156.68</v>
          </cell>
        </row>
        <row r="244">
          <cell r="A244" t="str">
            <v>080302</v>
          </cell>
          <cell r="B244" t="str">
            <v>ESCAVACAO PARA TUBULAO - BASE</v>
          </cell>
          <cell r="C244" t="str">
            <v>M3</v>
          </cell>
          <cell r="D244">
            <v>211.25</v>
          </cell>
        </row>
        <row r="246">
          <cell r="A246" t="str">
            <v>080400</v>
          </cell>
          <cell r="B246" t="str">
            <v>LASTROS</v>
          </cell>
        </row>
        <row r="247">
          <cell r="A247" t="str">
            <v>080401</v>
          </cell>
          <cell r="B247" t="str">
            <v>LASTRO DE AREIA (A)</v>
          </cell>
          <cell r="C247" t="str">
            <v>M3</v>
          </cell>
          <cell r="D247">
            <v>83.44</v>
          </cell>
        </row>
        <row r="248">
          <cell r="A248" t="str">
            <v>080402</v>
          </cell>
          <cell r="B248" t="str">
            <v>LASTRO DE PEDRA BRITADA (A)</v>
          </cell>
          <cell r="C248" t="str">
            <v>M3</v>
          </cell>
          <cell r="D248">
            <v>79.319999999999993</v>
          </cell>
        </row>
        <row r="249">
          <cell r="A249" t="str">
            <v>080403</v>
          </cell>
          <cell r="B249" t="str">
            <v>LASTRO DE PEDRA DE MAO (A)</v>
          </cell>
          <cell r="C249" t="str">
            <v>M3</v>
          </cell>
          <cell r="D249">
            <v>72.97</v>
          </cell>
        </row>
        <row r="250">
          <cell r="A250" t="str">
            <v>080404</v>
          </cell>
          <cell r="B250" t="str">
            <v>TAPETE DE ARGAMASSA (A)</v>
          </cell>
          <cell r="C250" t="str">
            <v>M3</v>
          </cell>
          <cell r="D250">
            <v>265.04000000000002</v>
          </cell>
        </row>
        <row r="251">
          <cell r="A251" t="str">
            <v>080431</v>
          </cell>
          <cell r="B251" t="str">
            <v>LASTRO DE AREIA (B)</v>
          </cell>
          <cell r="C251" t="str">
            <v>M3</v>
          </cell>
          <cell r="D251">
            <v>76.72</v>
          </cell>
        </row>
        <row r="252">
          <cell r="A252" t="str">
            <v>080432</v>
          </cell>
          <cell r="B252" t="str">
            <v>LASTRO DE PEDRA BRITADA (B)</v>
          </cell>
          <cell r="C252" t="str">
            <v>M3</v>
          </cell>
          <cell r="D252">
            <v>71.27</v>
          </cell>
        </row>
        <row r="253">
          <cell r="A253" t="str">
            <v>080433</v>
          </cell>
          <cell r="B253" t="str">
            <v>LASTRO DE PEDRA DE MAO (B)</v>
          </cell>
          <cell r="C253" t="str">
            <v>M3</v>
          </cell>
          <cell r="D253">
            <v>65.09</v>
          </cell>
        </row>
        <row r="254">
          <cell r="A254" t="str">
            <v>080434</v>
          </cell>
          <cell r="B254" t="str">
            <v>TAPETE DE ARGAMASSA (B)</v>
          </cell>
          <cell r="C254" t="str">
            <v>M3</v>
          </cell>
          <cell r="D254">
            <v>232.44</v>
          </cell>
        </row>
        <row r="255">
          <cell r="A255" t="str">
            <v>080451</v>
          </cell>
          <cell r="B255" t="str">
            <v>LASTRO DE AREIA (C)</v>
          </cell>
          <cell r="C255" t="str">
            <v>M3</v>
          </cell>
          <cell r="D255">
            <v>66.64</v>
          </cell>
        </row>
        <row r="256">
          <cell r="A256" t="str">
            <v>080452</v>
          </cell>
          <cell r="B256" t="str">
            <v>LASTRO DE PEDRA BRITADA (C)</v>
          </cell>
          <cell r="C256" t="str">
            <v>M3</v>
          </cell>
          <cell r="D256">
            <v>59.23</v>
          </cell>
        </row>
        <row r="257">
          <cell r="A257" t="str">
            <v>080453</v>
          </cell>
          <cell r="B257" t="str">
            <v>LASTRO DE PEDRA DE MAO (C)</v>
          </cell>
          <cell r="C257" t="str">
            <v>M3</v>
          </cell>
          <cell r="D257">
            <v>53.3</v>
          </cell>
        </row>
        <row r="258">
          <cell r="A258" t="str">
            <v>080454</v>
          </cell>
          <cell r="B258" t="str">
            <v>TAPETE DE ARGAMASSA (C)</v>
          </cell>
          <cell r="C258" t="str">
            <v>M3</v>
          </cell>
          <cell r="D258">
            <v>183.63</v>
          </cell>
        </row>
        <row r="260">
          <cell r="A260" t="str">
            <v>080500</v>
          </cell>
          <cell r="B260" t="str">
            <v>LASTRO PARA ASSENTAMENTO DE TUBOS E PECAS</v>
          </cell>
        </row>
        <row r="261">
          <cell r="A261" t="str">
            <v>080501</v>
          </cell>
          <cell r="B261" t="str">
            <v>PARA TUBOS E PECAS, DIAMETRO 100 MM (A)</v>
          </cell>
          <cell r="C261" t="str">
            <v>M</v>
          </cell>
          <cell r="D261">
            <v>11.74</v>
          </cell>
        </row>
        <row r="262">
          <cell r="A262" t="str">
            <v>080502</v>
          </cell>
          <cell r="B262" t="str">
            <v>PARA TUBOS E PECAS, DIAMETRO 150 MM (A)</v>
          </cell>
          <cell r="C262" t="str">
            <v>M</v>
          </cell>
          <cell r="D262">
            <v>12.34</v>
          </cell>
        </row>
        <row r="263">
          <cell r="A263" t="str">
            <v>080503</v>
          </cell>
          <cell r="B263" t="str">
            <v>PARA TUBOS E PECAS, DIAMETRO 175 MM (A)</v>
          </cell>
          <cell r="C263" t="str">
            <v>M</v>
          </cell>
          <cell r="D263">
            <v>12.64</v>
          </cell>
        </row>
        <row r="264">
          <cell r="A264" t="str">
            <v>080504</v>
          </cell>
          <cell r="B264" t="str">
            <v>PARA TUBOS E PECAS, DIAMETRO 200 MM (A)</v>
          </cell>
          <cell r="C264" t="str">
            <v>M</v>
          </cell>
          <cell r="D264">
            <v>12.94</v>
          </cell>
        </row>
        <row r="265">
          <cell r="A265" t="str">
            <v>080505</v>
          </cell>
          <cell r="B265" t="str">
            <v>PARA TUBOS E PECAS, DIAMETRO 250 MM (A)</v>
          </cell>
          <cell r="C265" t="str">
            <v>M</v>
          </cell>
          <cell r="D265">
            <v>13.53</v>
          </cell>
        </row>
        <row r="266">
          <cell r="A266" t="str">
            <v>080506</v>
          </cell>
          <cell r="B266" t="str">
            <v>PARA TUBOS E PECAS, DIAMETRO 300 MM (A)</v>
          </cell>
          <cell r="C266" t="str">
            <v>M</v>
          </cell>
          <cell r="D266">
            <v>14.12</v>
          </cell>
        </row>
        <row r="267">
          <cell r="A267" t="str">
            <v>080507</v>
          </cell>
          <cell r="B267" t="str">
            <v>PARA TUBOS E PECAS, DIAMETRO 350 MM (A)</v>
          </cell>
          <cell r="C267" t="str">
            <v>M</v>
          </cell>
          <cell r="D267">
            <v>14.72</v>
          </cell>
        </row>
        <row r="268">
          <cell r="A268" t="str">
            <v>080508</v>
          </cell>
          <cell r="B268" t="str">
            <v>PARA TUBOS E PECAS, DIAMETRO 375 MM (A)</v>
          </cell>
          <cell r="C268" t="str">
            <v>M</v>
          </cell>
          <cell r="D268">
            <v>15.08</v>
          </cell>
        </row>
        <row r="269">
          <cell r="A269" t="str">
            <v>080509</v>
          </cell>
          <cell r="B269" t="str">
            <v>PARA TUBOS E PECAS, DIAMETRO 400 MM (A)</v>
          </cell>
          <cell r="C269" t="str">
            <v>M</v>
          </cell>
          <cell r="D269">
            <v>15.32</v>
          </cell>
        </row>
        <row r="270">
          <cell r="A270" t="str">
            <v>080510</v>
          </cell>
          <cell r="B270" t="str">
            <v>PARA TUBOS E PECAS, DIAMETRO 450 MM (A)</v>
          </cell>
          <cell r="C270" t="str">
            <v>M</v>
          </cell>
          <cell r="D270">
            <v>15.9</v>
          </cell>
        </row>
        <row r="271">
          <cell r="A271" t="str">
            <v>080531</v>
          </cell>
          <cell r="B271" t="str">
            <v>PARA TUBOS E PECAS, DIAM. 100 MM (B)</v>
          </cell>
          <cell r="C271" t="str">
            <v>M</v>
          </cell>
          <cell r="D271">
            <v>10.16</v>
          </cell>
        </row>
        <row r="272">
          <cell r="A272" t="str">
            <v>080532</v>
          </cell>
          <cell r="B272" t="str">
            <v>PARA TUBOS E PECAS, DIAM. 150 MM (B)</v>
          </cell>
          <cell r="C272" t="str">
            <v>M</v>
          </cell>
          <cell r="D272">
            <v>10.69</v>
          </cell>
        </row>
        <row r="273">
          <cell r="A273" t="str">
            <v>080533</v>
          </cell>
          <cell r="B273" t="str">
            <v>PARA TUBOS E PECAS, DIAM. 175 MM (B)</v>
          </cell>
          <cell r="C273" t="str">
            <v>M</v>
          </cell>
          <cell r="D273">
            <v>10.97</v>
          </cell>
        </row>
        <row r="274">
          <cell r="A274" t="str">
            <v>080534</v>
          </cell>
          <cell r="B274" t="str">
            <v>PARA TUBOS E PECAS, DIAM. 200 MM (B)</v>
          </cell>
          <cell r="C274" t="str">
            <v>M</v>
          </cell>
          <cell r="D274">
            <v>11.22</v>
          </cell>
        </row>
        <row r="275">
          <cell r="A275" t="str">
            <v>080535</v>
          </cell>
          <cell r="B275" t="str">
            <v>PARA TUBOS E PECAS, DIAM. 250 MM (B)</v>
          </cell>
          <cell r="C275" t="str">
            <v>M</v>
          </cell>
          <cell r="D275">
            <v>11.77</v>
          </cell>
        </row>
        <row r="276">
          <cell r="A276" t="str">
            <v>080536</v>
          </cell>
          <cell r="B276" t="str">
            <v>PARA TUBOS E PECAS, DIAM. 300 MM (B)</v>
          </cell>
          <cell r="C276" t="str">
            <v>M</v>
          </cell>
          <cell r="D276">
            <v>12.3</v>
          </cell>
        </row>
        <row r="277">
          <cell r="A277" t="str">
            <v>080537</v>
          </cell>
          <cell r="B277" t="str">
            <v>PARA TUBOS E PECAS, DIAM. 350 MM (B)</v>
          </cell>
          <cell r="C277" t="str">
            <v>M</v>
          </cell>
          <cell r="D277">
            <v>12.83</v>
          </cell>
        </row>
        <row r="278">
          <cell r="A278" t="str">
            <v>080538</v>
          </cell>
          <cell r="B278" t="str">
            <v>PARA TUBOS E PECAS, DIAM. 375 MM (B)</v>
          </cell>
          <cell r="C278" t="str">
            <v>M</v>
          </cell>
          <cell r="D278">
            <v>13.15</v>
          </cell>
        </row>
        <row r="279">
          <cell r="A279" t="str">
            <v>080539</v>
          </cell>
          <cell r="B279" t="str">
            <v>PARA TUBOS E PECAS, DIAM. 400 MM (B)</v>
          </cell>
          <cell r="C279" t="str">
            <v>M</v>
          </cell>
          <cell r="D279">
            <v>13.36</v>
          </cell>
        </row>
        <row r="280">
          <cell r="A280" t="str">
            <v>080540</v>
          </cell>
          <cell r="B280" t="str">
            <v>PARA TUBOS E PECAS, DIAM. 450 MM (B)</v>
          </cell>
          <cell r="C280" t="str">
            <v>M</v>
          </cell>
          <cell r="D280">
            <v>13.89</v>
          </cell>
        </row>
        <row r="281">
          <cell r="A281" t="str">
            <v>080551</v>
          </cell>
          <cell r="B281" t="str">
            <v>PARA TUBOS E PECAS, DIAM. 100 MM (C)</v>
          </cell>
          <cell r="C281" t="str">
            <v>M</v>
          </cell>
          <cell r="D281">
            <v>7.8</v>
          </cell>
        </row>
        <row r="282">
          <cell r="A282" t="str">
            <v>080552</v>
          </cell>
          <cell r="B282" t="str">
            <v>PARA TUBOS E PECAS, DIAM. 150 MM (C)</v>
          </cell>
          <cell r="C282" t="str">
            <v>M</v>
          </cell>
          <cell r="D282">
            <v>8.24</v>
          </cell>
        </row>
        <row r="283">
          <cell r="A283" t="str">
            <v>080553</v>
          </cell>
          <cell r="B283" t="str">
            <v>PARA TUBOS E PECAS, DIAM. 175 MM (C)</v>
          </cell>
          <cell r="C283" t="str">
            <v>M</v>
          </cell>
          <cell r="D283">
            <v>8.4700000000000006</v>
          </cell>
        </row>
        <row r="284">
          <cell r="A284" t="str">
            <v>080554</v>
          </cell>
          <cell r="B284" t="str">
            <v>PARA TUBOS E PECAS, DIAM. 200 MM (C)</v>
          </cell>
          <cell r="C284" t="str">
            <v>M</v>
          </cell>
          <cell r="D284">
            <v>8.69</v>
          </cell>
        </row>
        <row r="285">
          <cell r="A285" t="str">
            <v>080555</v>
          </cell>
          <cell r="B285" t="str">
            <v>PARA TUBOS E PECAS, DIAM. 250 MM (C)</v>
          </cell>
          <cell r="C285" t="str">
            <v>M</v>
          </cell>
          <cell r="D285">
            <v>9.1300000000000008</v>
          </cell>
        </row>
        <row r="286">
          <cell r="A286" t="str">
            <v>080556</v>
          </cell>
          <cell r="B286" t="str">
            <v>PARA TUBOS E PECAS, DIAM. 300 MM (C)</v>
          </cell>
          <cell r="C286" t="str">
            <v>M</v>
          </cell>
          <cell r="D286">
            <v>9.57</v>
          </cell>
        </row>
        <row r="287">
          <cell r="A287" t="str">
            <v>080557</v>
          </cell>
          <cell r="B287" t="str">
            <v>PARA TUBOS E PECAS, 350 MM (C)</v>
          </cell>
          <cell r="C287" t="str">
            <v>M</v>
          </cell>
          <cell r="D287">
            <v>10.01</v>
          </cell>
        </row>
        <row r="288">
          <cell r="A288" t="str">
            <v>080558</v>
          </cell>
          <cell r="B288" t="str">
            <v>PARA TUBOS E PECAS, DIAM. 375 MM (C)</v>
          </cell>
          <cell r="C288" t="str">
            <v>M</v>
          </cell>
          <cell r="D288">
            <v>10.28</v>
          </cell>
        </row>
        <row r="289">
          <cell r="A289" t="str">
            <v>080559</v>
          </cell>
          <cell r="B289" t="str">
            <v>PARA TUBOS E PECAS, DIAM. 400 MM (C)</v>
          </cell>
          <cell r="C289" t="str">
            <v>M</v>
          </cell>
          <cell r="D289">
            <v>10.46</v>
          </cell>
        </row>
        <row r="290">
          <cell r="A290" t="str">
            <v>080560</v>
          </cell>
          <cell r="B290" t="str">
            <v>PARA TUBOS E PECAS, DIAM. 450 MM (C)</v>
          </cell>
          <cell r="C290" t="str">
            <v>M</v>
          </cell>
          <cell r="D290">
            <v>10.9</v>
          </cell>
        </row>
        <row r="292">
          <cell r="A292" t="str">
            <v>080600</v>
          </cell>
          <cell r="B292" t="str">
            <v>LASTRO, LAJE E BERCO PARA ASSENTAMENTO DE TUBOS E PECAS</v>
          </cell>
        </row>
        <row r="293">
          <cell r="A293" t="str">
            <v>080601</v>
          </cell>
          <cell r="B293" t="str">
            <v>PARA TUBOS E PECAS, DIAMETRO 100 MM (A)</v>
          </cell>
          <cell r="C293" t="str">
            <v>M</v>
          </cell>
          <cell r="D293">
            <v>33.01</v>
          </cell>
        </row>
        <row r="294">
          <cell r="A294" t="str">
            <v>080602</v>
          </cell>
          <cell r="B294" t="str">
            <v>PARA TUBOS E PECAS, DIAMETRO 150 MM (A)</v>
          </cell>
          <cell r="C294" t="str">
            <v>M</v>
          </cell>
          <cell r="D294">
            <v>33.92</v>
          </cell>
        </row>
        <row r="295">
          <cell r="A295" t="str">
            <v>080603</v>
          </cell>
          <cell r="B295" t="str">
            <v>PARA TUBOS E PECAS, DIAMETRO 175 MM (A)</v>
          </cell>
          <cell r="C295" t="str">
            <v>M</v>
          </cell>
          <cell r="D295">
            <v>37.950000000000003</v>
          </cell>
        </row>
        <row r="296">
          <cell r="A296" t="str">
            <v>080604</v>
          </cell>
          <cell r="B296" t="str">
            <v>PARA TUBOS E PECAS, DIAMETRO 200 MM (A)</v>
          </cell>
          <cell r="C296" t="str">
            <v>M</v>
          </cell>
          <cell r="D296">
            <v>40.76</v>
          </cell>
        </row>
        <row r="297">
          <cell r="A297" t="str">
            <v>080605</v>
          </cell>
          <cell r="B297" t="str">
            <v>PARA TUBOS E PECAS, DIAMETRO 250 MM (A)</v>
          </cell>
          <cell r="C297" t="str">
            <v>M</v>
          </cell>
          <cell r="D297">
            <v>43.99</v>
          </cell>
        </row>
        <row r="298">
          <cell r="A298" t="str">
            <v>080606</v>
          </cell>
          <cell r="B298" t="str">
            <v>PARA TUBOS E PECAS, DIAMETRO 300 MM (A)</v>
          </cell>
          <cell r="C298" t="str">
            <v>M</v>
          </cell>
          <cell r="D298">
            <v>49.82</v>
          </cell>
        </row>
        <row r="299">
          <cell r="A299" t="str">
            <v>080607</v>
          </cell>
          <cell r="B299" t="str">
            <v>PARA TUBOS E PECAS, DIAMETRO 350 MM (A)</v>
          </cell>
          <cell r="C299" t="str">
            <v>M</v>
          </cell>
          <cell r="D299">
            <v>53.02</v>
          </cell>
        </row>
        <row r="300">
          <cell r="A300" t="str">
            <v>080608</v>
          </cell>
          <cell r="B300" t="str">
            <v>PARA TUBOS E PECAS, DIAMETRO 375 MM (A)</v>
          </cell>
          <cell r="C300" t="str">
            <v>M</v>
          </cell>
          <cell r="D300">
            <v>57.12</v>
          </cell>
        </row>
        <row r="301">
          <cell r="A301" t="str">
            <v>080609</v>
          </cell>
          <cell r="B301" t="str">
            <v>PARA TUBOS E PECAS, DIAMETRO 400 MM (A)</v>
          </cell>
          <cell r="C301" t="str">
            <v>M</v>
          </cell>
          <cell r="D301">
            <v>58.79</v>
          </cell>
        </row>
        <row r="302">
          <cell r="A302" t="str">
            <v>080610</v>
          </cell>
          <cell r="B302" t="str">
            <v>PARA TUBOS E PECAS, DIAMETRO 450 MM (A)</v>
          </cell>
          <cell r="C302" t="str">
            <v>M</v>
          </cell>
          <cell r="D302">
            <v>64.989999999999995</v>
          </cell>
        </row>
        <row r="303">
          <cell r="A303" t="str">
            <v>080631</v>
          </cell>
          <cell r="B303" t="str">
            <v>PARA TUBOS E PECAS, DIAM. 100 MM (B)</v>
          </cell>
          <cell r="C303" t="str">
            <v>M</v>
          </cell>
          <cell r="D303">
            <v>29.95</v>
          </cell>
        </row>
        <row r="304">
          <cell r="A304" t="str">
            <v>080632</v>
          </cell>
          <cell r="B304" t="str">
            <v>PARA TUBOS E PECAS, DIAM. 150 MM (B)</v>
          </cell>
          <cell r="C304" t="str">
            <v>M</v>
          </cell>
          <cell r="D304">
            <v>30.78</v>
          </cell>
        </row>
        <row r="305">
          <cell r="A305" t="str">
            <v>080633</v>
          </cell>
          <cell r="B305" t="str">
            <v>PARA TUBOS E PECAS, DIAM. 175 MM (B)</v>
          </cell>
          <cell r="C305" t="str">
            <v>M</v>
          </cell>
          <cell r="D305">
            <v>34.47</v>
          </cell>
        </row>
        <row r="306">
          <cell r="A306" t="str">
            <v>080634</v>
          </cell>
          <cell r="B306" t="str">
            <v>PARA TUBOS E PECAS, DIAM. 200 MM (B)</v>
          </cell>
          <cell r="C306" t="str">
            <v>M</v>
          </cell>
          <cell r="D306">
            <v>37.130000000000003</v>
          </cell>
        </row>
        <row r="307">
          <cell r="A307" t="str">
            <v>080635</v>
          </cell>
          <cell r="B307" t="str">
            <v>PARA TUBOS E PECAS, DIAM. 250 MM (B)</v>
          </cell>
          <cell r="C307" t="str">
            <v>M</v>
          </cell>
          <cell r="D307">
            <v>40.17</v>
          </cell>
        </row>
        <row r="308">
          <cell r="A308" t="str">
            <v>080636</v>
          </cell>
          <cell r="B308" t="str">
            <v>PARA TUBOS E PECAS, DIAM. 300 MM (B)</v>
          </cell>
          <cell r="C308" t="str">
            <v>M</v>
          </cell>
          <cell r="D308">
            <v>45.64</v>
          </cell>
        </row>
        <row r="309">
          <cell r="A309" t="str">
            <v>080637</v>
          </cell>
          <cell r="B309" t="str">
            <v>PARA TUBOS E PECAS, DIAM. 350 MM (B)</v>
          </cell>
          <cell r="C309" t="str">
            <v>M</v>
          </cell>
          <cell r="D309">
            <v>48.66</v>
          </cell>
        </row>
        <row r="310">
          <cell r="A310" t="str">
            <v>080638</v>
          </cell>
          <cell r="B310" t="str">
            <v>PARA TUBOS E PECAS, DIAM. 375 MM (B)</v>
          </cell>
          <cell r="C310" t="str">
            <v>M</v>
          </cell>
          <cell r="D310">
            <v>52.48</v>
          </cell>
        </row>
        <row r="311">
          <cell r="A311" t="str">
            <v>080639</v>
          </cell>
          <cell r="B311" t="str">
            <v>PARA TUBOS E PECAS, DIAM. 400 MM (B)</v>
          </cell>
          <cell r="C311" t="str">
            <v>M</v>
          </cell>
          <cell r="D311">
            <v>54.06</v>
          </cell>
        </row>
        <row r="312">
          <cell r="A312" t="str">
            <v>080640</v>
          </cell>
          <cell r="B312" t="str">
            <v>PARA TUBOS E PECAS, DIAM. 450 MM (B)</v>
          </cell>
          <cell r="C312" t="str">
            <v>M</v>
          </cell>
          <cell r="D312">
            <v>59.88</v>
          </cell>
        </row>
        <row r="313">
          <cell r="A313" t="str">
            <v>080651</v>
          </cell>
          <cell r="B313" t="str">
            <v>PARA TUBOS E PECAS, DIAM. 100 MM (C)</v>
          </cell>
          <cell r="C313" t="str">
            <v>M</v>
          </cell>
          <cell r="D313">
            <v>25.42</v>
          </cell>
        </row>
        <row r="314">
          <cell r="A314" t="str">
            <v>080652</v>
          </cell>
          <cell r="B314" t="str">
            <v>PARA TUBOS E PECAS, DIAM. 150 MM (C)</v>
          </cell>
          <cell r="C314" t="str">
            <v>M</v>
          </cell>
          <cell r="D314">
            <v>25.25</v>
          </cell>
        </row>
        <row r="315">
          <cell r="A315" t="str">
            <v>080653</v>
          </cell>
          <cell r="B315" t="str">
            <v>PARA TUBOS E PECAS, DIAM. 175 MM (C)</v>
          </cell>
          <cell r="C315" t="str">
            <v>M</v>
          </cell>
          <cell r="D315">
            <v>29.35</v>
          </cell>
        </row>
        <row r="316">
          <cell r="A316" t="str">
            <v>080654</v>
          </cell>
          <cell r="B316" t="str">
            <v>PARA TUBOS E PECAS, DIAM. 200 MM (C)</v>
          </cell>
          <cell r="C316" t="str">
            <v>M</v>
          </cell>
          <cell r="D316">
            <v>31.8</v>
          </cell>
        </row>
        <row r="317">
          <cell r="A317" t="str">
            <v>080655</v>
          </cell>
          <cell r="B317" t="str">
            <v>PARA TUBOS E PECAS, DIAM. 250 MM (C)</v>
          </cell>
          <cell r="C317" t="str">
            <v>M</v>
          </cell>
          <cell r="D317">
            <v>34.549999999999997</v>
          </cell>
        </row>
        <row r="318">
          <cell r="A318" t="str">
            <v>080656</v>
          </cell>
          <cell r="B318" t="str">
            <v>PARA TUBOS E PECAS, DIAM. 300 MM (C)</v>
          </cell>
          <cell r="C318" t="str">
            <v>M</v>
          </cell>
          <cell r="D318">
            <v>39.47</v>
          </cell>
        </row>
        <row r="319">
          <cell r="A319" t="str">
            <v>080657</v>
          </cell>
          <cell r="B319" t="str">
            <v>PARA TUBOS E PECAS, DIAM. 350 MM (C)</v>
          </cell>
          <cell r="C319" t="str">
            <v>M</v>
          </cell>
          <cell r="D319">
            <v>42.21</v>
          </cell>
        </row>
        <row r="320">
          <cell r="A320" t="str">
            <v>080658</v>
          </cell>
          <cell r="B320" t="str">
            <v>PARA TUBOS E PECAS, DIAM. 375 MM (C)</v>
          </cell>
          <cell r="C320" t="str">
            <v>M</v>
          </cell>
          <cell r="D320">
            <v>45.61</v>
          </cell>
        </row>
        <row r="321">
          <cell r="A321" t="str">
            <v>080659</v>
          </cell>
          <cell r="B321" t="str">
            <v>PARA TUBOS E PECAS, DIAM. 400 MM (C)</v>
          </cell>
          <cell r="C321" t="str">
            <v>M</v>
          </cell>
          <cell r="D321">
            <v>47.08</v>
          </cell>
        </row>
        <row r="322">
          <cell r="A322" t="str">
            <v>080660</v>
          </cell>
          <cell r="B322" t="str">
            <v>PARA TUBOS E PECAS, DIAM. 450 MM (C)</v>
          </cell>
          <cell r="C322" t="str">
            <v>M</v>
          </cell>
          <cell r="D322">
            <v>52.33</v>
          </cell>
        </row>
        <row r="324">
          <cell r="A324" t="str">
            <v>080700</v>
          </cell>
          <cell r="B324" t="str">
            <v>ANCORAGEM PARA REDES</v>
          </cell>
        </row>
        <row r="325">
          <cell r="A325" t="str">
            <v>080701</v>
          </cell>
          <cell r="B325" t="str">
            <v>PONTALETE DE PEROBA</v>
          </cell>
          <cell r="C325" t="str">
            <v>UN</v>
          </cell>
          <cell r="D325">
            <v>14.17</v>
          </cell>
        </row>
        <row r="327">
          <cell r="A327" t="str">
            <v>080800</v>
          </cell>
          <cell r="B327" t="str">
            <v>ANCORAGEM EM CONCRETO PARA PECAS</v>
          </cell>
        </row>
        <row r="328">
          <cell r="A328" t="str">
            <v>080801</v>
          </cell>
          <cell r="B328" t="str">
            <v>CAP E PLUG, DIAMETRO 150 MM</v>
          </cell>
          <cell r="C328" t="str">
            <v>UN</v>
          </cell>
          <cell r="D328">
            <v>20.45</v>
          </cell>
        </row>
        <row r="329">
          <cell r="A329" t="str">
            <v>080802</v>
          </cell>
          <cell r="B329" t="str">
            <v>CAP E PLUG, DIAMETRO 200 MM</v>
          </cell>
          <cell r="C329" t="str">
            <v>UN</v>
          </cell>
          <cell r="D329">
            <v>29.11</v>
          </cell>
        </row>
        <row r="330">
          <cell r="A330" t="str">
            <v>080803</v>
          </cell>
          <cell r="B330" t="str">
            <v>CAP E PLUG, DIAMETRO 250 MM</v>
          </cell>
          <cell r="C330" t="str">
            <v>UN</v>
          </cell>
          <cell r="D330">
            <v>38.5</v>
          </cell>
        </row>
        <row r="331">
          <cell r="A331" t="str">
            <v>080804</v>
          </cell>
          <cell r="B331" t="str">
            <v>CAP E PLUG, DIAMETRO 300 MM</v>
          </cell>
          <cell r="C331" t="str">
            <v>UN</v>
          </cell>
          <cell r="D331">
            <v>48.85</v>
          </cell>
        </row>
        <row r="332">
          <cell r="A332" t="str">
            <v>080805</v>
          </cell>
          <cell r="B332" t="str">
            <v>CAP E PLUG, DIAMETRO 350 MM</v>
          </cell>
          <cell r="C332" t="str">
            <v>UN</v>
          </cell>
          <cell r="D332">
            <v>59.9</v>
          </cell>
        </row>
        <row r="333">
          <cell r="A333" t="str">
            <v>080806</v>
          </cell>
          <cell r="B333" t="str">
            <v>CAP E PLUG, DIAMETRO 400 MM</v>
          </cell>
          <cell r="C333" t="str">
            <v>UN</v>
          </cell>
          <cell r="D333">
            <v>71.959999999999994</v>
          </cell>
        </row>
        <row r="334">
          <cell r="A334" t="str">
            <v>080807</v>
          </cell>
          <cell r="B334" t="str">
            <v>CURVA 11 GRAUS 15 MIN., DIAMETRO 150 MM</v>
          </cell>
          <cell r="C334" t="str">
            <v>UN</v>
          </cell>
          <cell r="D334">
            <v>28.87</v>
          </cell>
        </row>
        <row r="335">
          <cell r="A335" t="str">
            <v>080808</v>
          </cell>
          <cell r="B335" t="str">
            <v>CURVA 11 GRAUS 15 MIN., DIAMETRO 200 MM</v>
          </cell>
          <cell r="C335" t="str">
            <v>UN</v>
          </cell>
          <cell r="D335">
            <v>36.36</v>
          </cell>
        </row>
        <row r="336">
          <cell r="A336" t="str">
            <v>080809</v>
          </cell>
          <cell r="B336" t="str">
            <v>CURVA 11 GRAUS 15 MIN., DIAMETRO 250 MM</v>
          </cell>
          <cell r="C336" t="str">
            <v>UN</v>
          </cell>
          <cell r="D336">
            <v>42.69</v>
          </cell>
        </row>
        <row r="337">
          <cell r="A337" t="str">
            <v>080810</v>
          </cell>
          <cell r="B337" t="str">
            <v>CURVA 11 GRAUS 15 MIN., DIAMETRO 300 MM</v>
          </cell>
          <cell r="C337" t="str">
            <v>UN</v>
          </cell>
          <cell r="D337">
            <v>51.13</v>
          </cell>
        </row>
        <row r="338">
          <cell r="A338" t="str">
            <v>080811</v>
          </cell>
          <cell r="B338" t="str">
            <v>CURVA 11 GRAUS 15 MIN., DIAMETRO 350 MM</v>
          </cell>
          <cell r="C338" t="str">
            <v>UN</v>
          </cell>
          <cell r="D338">
            <v>63.22</v>
          </cell>
        </row>
        <row r="339">
          <cell r="A339" t="str">
            <v>080812</v>
          </cell>
          <cell r="B339" t="str">
            <v>CURVA 11 GRAUS 15 MIN., DIAMETRO 400 MM</v>
          </cell>
          <cell r="C339" t="str">
            <v>UN</v>
          </cell>
          <cell r="D339">
            <v>80.02</v>
          </cell>
        </row>
        <row r="340">
          <cell r="A340" t="str">
            <v>080813</v>
          </cell>
          <cell r="B340" t="str">
            <v>CURVA 22 GRAUS 30 MIN., DIAMETRO 150 MM</v>
          </cell>
          <cell r="C340" t="str">
            <v>UN</v>
          </cell>
          <cell r="D340">
            <v>32.1</v>
          </cell>
        </row>
        <row r="341">
          <cell r="A341" t="str">
            <v>080814</v>
          </cell>
          <cell r="B341" t="str">
            <v>CURVA 22 GRAUS 30 MIN., DIAMETRO 200 MM</v>
          </cell>
          <cell r="C341" t="str">
            <v>UN</v>
          </cell>
          <cell r="D341">
            <v>39.68</v>
          </cell>
        </row>
        <row r="342">
          <cell r="A342" t="str">
            <v>080815</v>
          </cell>
          <cell r="B342" t="str">
            <v>CURVA 22 GRAUS 30 MIN., DIAMETRO 250 MM</v>
          </cell>
          <cell r="C342" t="str">
            <v>UN</v>
          </cell>
          <cell r="D342">
            <v>46.08</v>
          </cell>
        </row>
        <row r="343">
          <cell r="A343" t="str">
            <v>080816</v>
          </cell>
          <cell r="B343" t="str">
            <v>CURVA 22 GRAUS 30 MIN., DIAMETRO 300 MM</v>
          </cell>
          <cell r="C343" t="str">
            <v>UN</v>
          </cell>
          <cell r="D343">
            <v>55.14</v>
          </cell>
        </row>
        <row r="344">
          <cell r="A344" t="str">
            <v>080817</v>
          </cell>
          <cell r="B344" t="str">
            <v>CURVA 22 GRAUS 30 MIN., DIAMETRO 350 MM</v>
          </cell>
          <cell r="C344" t="str">
            <v>UN</v>
          </cell>
          <cell r="D344">
            <v>67.45</v>
          </cell>
        </row>
        <row r="345">
          <cell r="A345" t="str">
            <v>080818</v>
          </cell>
          <cell r="B345" t="str">
            <v>CURVA 22 GRAUS 30 MIN., DIAMETRO 400 MM</v>
          </cell>
          <cell r="C345" t="str">
            <v>UN</v>
          </cell>
          <cell r="D345">
            <v>84.72</v>
          </cell>
        </row>
        <row r="346">
          <cell r="A346" t="str">
            <v>080819</v>
          </cell>
          <cell r="B346" t="str">
            <v>CURVA 45 GRAUS DIAMETRO 150 MM</v>
          </cell>
          <cell r="C346" t="str">
            <v>UN</v>
          </cell>
          <cell r="D346">
            <v>30.51</v>
          </cell>
        </row>
        <row r="347">
          <cell r="A347" t="str">
            <v>080820</v>
          </cell>
          <cell r="B347" t="str">
            <v>CURVA 45 GRAUS DIAMETRO 200 MM</v>
          </cell>
          <cell r="C347" t="str">
            <v>UN</v>
          </cell>
          <cell r="D347">
            <v>38.72</v>
          </cell>
        </row>
        <row r="348">
          <cell r="A348" t="str">
            <v>080821</v>
          </cell>
          <cell r="B348" t="str">
            <v>CURVA 45 GRAUS DIAMETRO 250 MM</v>
          </cell>
          <cell r="C348" t="str">
            <v>UN</v>
          </cell>
          <cell r="D348">
            <v>46.69</v>
          </cell>
        </row>
        <row r="349">
          <cell r="A349" t="str">
            <v>080822</v>
          </cell>
          <cell r="B349" t="str">
            <v>CURVA 45 GRAUS DIAMETRO 300 MM</v>
          </cell>
          <cell r="C349" t="str">
            <v>UN</v>
          </cell>
          <cell r="D349">
            <v>55.96</v>
          </cell>
        </row>
        <row r="350">
          <cell r="A350" t="str">
            <v>080823</v>
          </cell>
          <cell r="B350" t="str">
            <v>CURVA 45 GRAUS DIAMETRO 350 MM</v>
          </cell>
          <cell r="C350" t="str">
            <v>UN</v>
          </cell>
          <cell r="D350">
            <v>72.209999999999994</v>
          </cell>
        </row>
        <row r="351">
          <cell r="A351" t="str">
            <v>080824</v>
          </cell>
          <cell r="B351" t="str">
            <v>CURVA 45 GRAUS DIAMETRO 400 MM</v>
          </cell>
          <cell r="C351" t="str">
            <v>UN</v>
          </cell>
          <cell r="D351">
            <v>92.74</v>
          </cell>
        </row>
        <row r="352">
          <cell r="A352" t="str">
            <v>080825</v>
          </cell>
          <cell r="B352" t="str">
            <v>CURVA 90 GRAUS E TE, DIAMETRO 150 MM</v>
          </cell>
          <cell r="C352" t="str">
            <v>UN</v>
          </cell>
          <cell r="D352">
            <v>52.05</v>
          </cell>
        </row>
        <row r="353">
          <cell r="A353" t="str">
            <v>080826</v>
          </cell>
          <cell r="B353" t="str">
            <v>CURVA 90 GRAUS E TE, DIAMETRO 200 MM</v>
          </cell>
          <cell r="C353" t="str">
            <v>UN</v>
          </cell>
          <cell r="D353">
            <v>56.17</v>
          </cell>
        </row>
        <row r="354">
          <cell r="A354" t="str">
            <v>080827</v>
          </cell>
          <cell r="B354" t="str">
            <v>CURVA 90 GRAUS E TE, DIAMETRO 250 MM</v>
          </cell>
          <cell r="C354" t="str">
            <v>UN</v>
          </cell>
          <cell r="D354">
            <v>77.849999999999994</v>
          </cell>
        </row>
        <row r="355">
          <cell r="A355" t="str">
            <v>080828</v>
          </cell>
          <cell r="B355" t="str">
            <v>CURVA 90 GRAUS E TE, DIAMETRO 300 MM</v>
          </cell>
          <cell r="C355" t="str">
            <v>UN</v>
          </cell>
          <cell r="D355">
            <v>99.44</v>
          </cell>
        </row>
        <row r="356">
          <cell r="A356" t="str">
            <v>080829</v>
          </cell>
          <cell r="B356" t="str">
            <v>CURVA 90 GRAUS E TE, DIAMETRO 350 MM</v>
          </cell>
          <cell r="C356" t="str">
            <v>UN</v>
          </cell>
          <cell r="D356">
            <v>127.46</v>
          </cell>
        </row>
        <row r="357">
          <cell r="A357" t="str">
            <v>080830</v>
          </cell>
          <cell r="B357" t="str">
            <v>CURVA 90 GRAUS E TE, DIAMETRO 400 MM</v>
          </cell>
          <cell r="C357" t="str">
            <v>UN</v>
          </cell>
          <cell r="D357">
            <v>159.22</v>
          </cell>
        </row>
        <row r="359">
          <cell r="A359" t="str">
            <v>080900</v>
          </cell>
          <cell r="B359" t="str">
            <v>FORMAS PARA CONCRETO</v>
          </cell>
        </row>
        <row r="360">
          <cell r="A360" t="str">
            <v>080901</v>
          </cell>
          <cell r="B360" t="str">
            <v>FORMA DE MADEIRA - COMUM</v>
          </cell>
          <cell r="C360" t="str">
            <v>M2</v>
          </cell>
          <cell r="D360">
            <v>23.35</v>
          </cell>
        </row>
        <row r="361">
          <cell r="A361" t="str">
            <v>080902</v>
          </cell>
          <cell r="B361" t="str">
            <v>FORMA PLANA DE MADEIRA - ESTRUTURA</v>
          </cell>
          <cell r="C361" t="str">
            <v>M2</v>
          </cell>
          <cell r="D361">
            <v>31.95</v>
          </cell>
        </row>
        <row r="362">
          <cell r="A362" t="str">
            <v>080903</v>
          </cell>
          <cell r="B362" t="str">
            <v>FORMA PLANA DE MADEIRA - APARENTE</v>
          </cell>
          <cell r="C362" t="str">
            <v>M2</v>
          </cell>
          <cell r="D362">
            <v>39.35</v>
          </cell>
        </row>
        <row r="363">
          <cell r="A363" t="str">
            <v>080904</v>
          </cell>
          <cell r="B363" t="str">
            <v>FORMA CURVA DE MADEIRA - ESTRUTURA</v>
          </cell>
          <cell r="C363" t="str">
            <v>M2</v>
          </cell>
          <cell r="D363">
            <v>58.13</v>
          </cell>
        </row>
        <row r="364">
          <cell r="A364" t="str">
            <v>080905</v>
          </cell>
          <cell r="B364" t="str">
            <v>FORMA CURVA DE MADEIRA - APARENTE</v>
          </cell>
          <cell r="C364" t="str">
            <v>M2</v>
          </cell>
          <cell r="D364">
            <v>63.93</v>
          </cell>
        </row>
        <row r="365">
          <cell r="A365" t="str">
            <v>080906</v>
          </cell>
          <cell r="B365" t="str">
            <v>FORMA METALICA - APARENTE</v>
          </cell>
          <cell r="C365" t="str">
            <v>M2</v>
          </cell>
          <cell r="D365">
            <v>60.8</v>
          </cell>
        </row>
        <row r="367">
          <cell r="A367" t="str">
            <v>081000</v>
          </cell>
          <cell r="B367" t="str">
            <v>ACOS PARA CONCRETO</v>
          </cell>
        </row>
        <row r="368">
          <cell r="A368" t="str">
            <v>081001</v>
          </cell>
          <cell r="B368" t="str">
            <v>ARMACAO EM ACO CA-25</v>
          </cell>
          <cell r="C368" t="str">
            <v>KG</v>
          </cell>
          <cell r="D368">
            <v>3.97</v>
          </cell>
        </row>
        <row r="369">
          <cell r="A369" t="str">
            <v>081002</v>
          </cell>
          <cell r="B369" t="str">
            <v>ARMACAO EM ACO CA-50</v>
          </cell>
          <cell r="C369" t="str">
            <v>KG</v>
          </cell>
          <cell r="D369">
            <v>3.96</v>
          </cell>
        </row>
        <row r="370">
          <cell r="A370" t="str">
            <v>081003</v>
          </cell>
          <cell r="B370" t="str">
            <v>ARMACAO EM ACO CA-60</v>
          </cell>
          <cell r="C370" t="str">
            <v>KG</v>
          </cell>
          <cell r="D370">
            <v>4.5599999999999996</v>
          </cell>
        </row>
        <row r="371">
          <cell r="A371" t="str">
            <v>081004</v>
          </cell>
          <cell r="B371" t="str">
            <v>ARMACAO EM TELA DE ACO</v>
          </cell>
          <cell r="C371" t="str">
            <v>KG</v>
          </cell>
          <cell r="D371">
            <v>3.24</v>
          </cell>
        </row>
        <row r="373">
          <cell r="A373" t="str">
            <v>081100</v>
          </cell>
          <cell r="B373" t="str">
            <v>CONCRETO NAO ESTRUTURAL</v>
          </cell>
        </row>
        <row r="374">
          <cell r="A374" t="str">
            <v>081101</v>
          </cell>
          <cell r="B374" t="str">
            <v>CONCRETO NAO ESTRUTURAL - CICLOPICO</v>
          </cell>
          <cell r="C374" t="str">
            <v>M3</v>
          </cell>
          <cell r="D374">
            <v>291.25</v>
          </cell>
        </row>
        <row r="375">
          <cell r="A375" t="str">
            <v>081102</v>
          </cell>
          <cell r="B375" t="str">
            <v>CONCRETO NAO ESTRUTURAL - MINIMO DE 150 KG DE CIMENTO/M3</v>
          </cell>
          <cell r="C375" t="str">
            <v>M3</v>
          </cell>
          <cell r="D375">
            <v>192.42</v>
          </cell>
        </row>
        <row r="376">
          <cell r="A376" t="str">
            <v>081103</v>
          </cell>
          <cell r="B376" t="str">
            <v>CONCRETO NAO ESTRUTURAL - MINIMO DE 210 KG DE CIMENTO/M3</v>
          </cell>
          <cell r="C376" t="str">
            <v>M3</v>
          </cell>
          <cell r="D376">
            <v>227.09</v>
          </cell>
        </row>
        <row r="377">
          <cell r="A377" t="str">
            <v>081104</v>
          </cell>
          <cell r="B377" t="str">
            <v>CONCRETO NAO ESTRUTURAL - MINIMO DE 300 KG DE CIMENTO/M3</v>
          </cell>
          <cell r="C377" t="str">
            <v>M3</v>
          </cell>
          <cell r="D377">
            <v>239.05</v>
          </cell>
        </row>
        <row r="379">
          <cell r="A379" t="str">
            <v>081200</v>
          </cell>
          <cell r="B379" t="str">
            <v>CONCRETO ESTRUTURAL PARA ESTRUTURAS NAO SUJEITAS A CONTATO COM AGUA OU ESGOTO</v>
          </cell>
        </row>
        <row r="380">
          <cell r="A380" t="str">
            <v>081201</v>
          </cell>
          <cell r="B380" t="str">
            <v>FCK = 15,0 MPA</v>
          </cell>
          <cell r="C380" t="str">
            <v>M3</v>
          </cell>
          <cell r="D380">
            <v>245.59</v>
          </cell>
        </row>
        <row r="381">
          <cell r="A381" t="str">
            <v>081202</v>
          </cell>
          <cell r="B381" t="str">
            <v>FCK = 20,0 MPA</v>
          </cell>
          <cell r="C381" t="str">
            <v>M3</v>
          </cell>
          <cell r="D381">
            <v>260.66000000000003</v>
          </cell>
        </row>
        <row r="382">
          <cell r="A382" t="str">
            <v>081203</v>
          </cell>
          <cell r="B382" t="str">
            <v>FCK = 25,0 MPA</v>
          </cell>
          <cell r="C382" t="str">
            <v>M3</v>
          </cell>
          <cell r="D382">
            <v>274.36</v>
          </cell>
        </row>
        <row r="384">
          <cell r="A384" t="str">
            <v>081300</v>
          </cell>
          <cell r="B384" t="str">
            <v>CONCRETO ESTRUTURAL PARA ESTRUTURAS EM CONTATO COM AGUA BRUTA,AGUA TRATADA,SOLOS E GASES AGRESSIVOS</v>
          </cell>
        </row>
        <row r="385">
          <cell r="A385" t="str">
            <v>081301</v>
          </cell>
          <cell r="B385" t="str">
            <v>FCK = 20,0 MPA, A/C MAX. 0,55 L/KG - MINIMO DE 320 KG DE CIMENTO/M3</v>
          </cell>
          <cell r="C385" t="str">
            <v>M3</v>
          </cell>
          <cell r="D385">
            <v>260.66000000000003</v>
          </cell>
        </row>
        <row r="386">
          <cell r="A386" t="str">
            <v>081302</v>
          </cell>
          <cell r="B386" t="str">
            <v>FCK = 25,0 MPA, A/C MAX. 0,55 L/KG - MINIMO DE 320 KG DE CIMENTO/M3</v>
          </cell>
          <cell r="C386" t="str">
            <v>M3</v>
          </cell>
          <cell r="D386">
            <v>274.36</v>
          </cell>
        </row>
        <row r="388">
          <cell r="A388" t="str">
            <v>081400</v>
          </cell>
          <cell r="B388" t="str">
            <v>CONCRETO ESTRUTURAL P/ESTRUT.EM CONTATO C/ESGOTO,GASES AGRES.,AMBIENTE MARITIMO E ESTRUT.P/TRAT.AGUA</v>
          </cell>
        </row>
        <row r="389">
          <cell r="A389" t="str">
            <v>081401</v>
          </cell>
          <cell r="B389" t="str">
            <v>FCK = 20,0 MPA, A/C MAX. 0,50 L/KG - MINIMO DE 350 KG DE CIMENTO/M3</v>
          </cell>
          <cell r="C389" t="str">
            <v>M3</v>
          </cell>
          <cell r="D389">
            <v>270.08</v>
          </cell>
        </row>
        <row r="390">
          <cell r="A390" t="str">
            <v>081402</v>
          </cell>
          <cell r="B390" t="str">
            <v>FCK = 25,0 MPA, A/C MAX. 0,50 L/KG - MINIMO DE 350 KG DE CIMENTO/M3</v>
          </cell>
          <cell r="C390" t="str">
            <v>M3</v>
          </cell>
          <cell r="D390">
            <v>291.07</v>
          </cell>
        </row>
        <row r="392">
          <cell r="A392" t="str">
            <v>081500</v>
          </cell>
          <cell r="B392" t="str">
            <v>CONCRETO ESTRUTURAL AUTO-ADENSAVEL</v>
          </cell>
        </row>
        <row r="393">
          <cell r="A393" t="str">
            <v>081501</v>
          </cell>
          <cell r="B393" t="str">
            <v>FCK = 15,0 MPA - AUTO ADENSAVEL</v>
          </cell>
          <cell r="C393" t="str">
            <v>M3</v>
          </cell>
          <cell r="D393">
            <v>266.14</v>
          </cell>
        </row>
        <row r="394">
          <cell r="A394" t="str">
            <v>081502</v>
          </cell>
          <cell r="B394" t="str">
            <v>FCK = 20,0 MPA - AUTO ADENSAVEL</v>
          </cell>
          <cell r="C394" t="str">
            <v>M3</v>
          </cell>
          <cell r="D394">
            <v>277.10000000000002</v>
          </cell>
        </row>
        <row r="396">
          <cell r="A396" t="str">
            <v>081600</v>
          </cell>
          <cell r="B396" t="str">
            <v>JUNTAS</v>
          </cell>
        </row>
        <row r="397">
          <cell r="A397" t="str">
            <v>081601</v>
          </cell>
          <cell r="B397" t="str">
            <v>JUNTA TIPO-O-12</v>
          </cell>
          <cell r="C397" t="str">
            <v>M</v>
          </cell>
          <cell r="D397">
            <v>49.52</v>
          </cell>
        </row>
        <row r="398">
          <cell r="A398" t="str">
            <v>081602</v>
          </cell>
          <cell r="B398" t="str">
            <v>JUNTA TIPO-O-22</v>
          </cell>
          <cell r="C398" t="str">
            <v>M</v>
          </cell>
          <cell r="D398">
            <v>63.85</v>
          </cell>
        </row>
        <row r="399">
          <cell r="A399" t="str">
            <v>081603</v>
          </cell>
          <cell r="B399" t="str">
            <v>JUNTA TIPO-O-35/6</v>
          </cell>
          <cell r="C399" t="str">
            <v>M</v>
          </cell>
          <cell r="D399">
            <v>98.45</v>
          </cell>
        </row>
        <row r="400">
          <cell r="A400" t="str">
            <v>081606</v>
          </cell>
          <cell r="B400" t="str">
            <v>JUNTA TIPO-M-35</v>
          </cell>
          <cell r="C400" t="str">
            <v>M</v>
          </cell>
          <cell r="D400">
            <v>132.74</v>
          </cell>
        </row>
        <row r="402">
          <cell r="A402" t="str">
            <v>081700</v>
          </cell>
          <cell r="B402" t="str">
            <v>SERVICOS COMPLEMENTARES PARA AS OBRAS DE CONCRETO</v>
          </cell>
        </row>
        <row r="403">
          <cell r="A403" t="str">
            <v>081701</v>
          </cell>
          <cell r="B403" t="str">
            <v>PLACA DE ISOPOR</v>
          </cell>
          <cell r="C403" t="str">
            <v>M2</v>
          </cell>
          <cell r="D403">
            <v>12.79</v>
          </cell>
        </row>
        <row r="404">
          <cell r="A404" t="str">
            <v>081702</v>
          </cell>
          <cell r="B404" t="str">
            <v>VEDACAO DE JUNTAS COM MASTIQUE ELASTICO</v>
          </cell>
          <cell r="C404" t="str">
            <v>M</v>
          </cell>
          <cell r="D404">
            <v>67.150000000000006</v>
          </cell>
        </row>
        <row r="405">
          <cell r="A405" t="str">
            <v>081703</v>
          </cell>
          <cell r="B405" t="str">
            <v>BOMBEAMENTO DE CONCRETO</v>
          </cell>
          <cell r="C405" t="str">
            <v>M3</v>
          </cell>
          <cell r="D405">
            <v>20.54</v>
          </cell>
        </row>
        <row r="406">
          <cell r="A406" t="str">
            <v>081704</v>
          </cell>
          <cell r="B406" t="str">
            <v>NUCLEO PERDIDO</v>
          </cell>
          <cell r="C406" t="str">
            <v>UN</v>
          </cell>
          <cell r="D406">
            <v>9.61</v>
          </cell>
        </row>
        <row r="408">
          <cell r="A408" t="str">
            <v>081800</v>
          </cell>
          <cell r="B408" t="str">
            <v>CONCRETO / ARGAMASSA PROJETADA</v>
          </cell>
        </row>
        <row r="409">
          <cell r="A409" t="str">
            <v>081801</v>
          </cell>
          <cell r="B409" t="str">
            <v>CONCRETO PROJETADO EM PAREDES</v>
          </cell>
          <cell r="C409" t="str">
            <v>M3</v>
          </cell>
          <cell r="D409">
            <v>852.09</v>
          </cell>
        </row>
        <row r="410">
          <cell r="A410" t="str">
            <v>081802</v>
          </cell>
          <cell r="B410" t="str">
            <v>CONCRETO PROJETADO EM TETOS</v>
          </cell>
          <cell r="C410" t="str">
            <v>M3</v>
          </cell>
          <cell r="D410">
            <v>940.74</v>
          </cell>
        </row>
        <row r="411">
          <cell r="A411" t="str">
            <v>081803</v>
          </cell>
          <cell r="B411" t="str">
            <v>ARGAMASSA PROJETADA EM PAREDES</v>
          </cell>
          <cell r="C411" t="str">
            <v>M3</v>
          </cell>
          <cell r="D411">
            <v>864.47</v>
          </cell>
        </row>
        <row r="412">
          <cell r="A412" t="str">
            <v>081804</v>
          </cell>
          <cell r="B412" t="str">
            <v>ARGAMASSA PROJETADA EM TETOS</v>
          </cell>
          <cell r="C412" t="str">
            <v>M3</v>
          </cell>
          <cell r="D412">
            <v>954.75</v>
          </cell>
        </row>
        <row r="414">
          <cell r="A414" t="str">
            <v>081900</v>
          </cell>
          <cell r="B414" t="str">
            <v>ADITIVOS</v>
          </cell>
        </row>
        <row r="416">
          <cell r="A416" t="str">
            <v>082000</v>
          </cell>
          <cell r="B416" t="str">
            <v>LAJE PRE-FABRICADA</v>
          </cell>
        </row>
        <row r="417">
          <cell r="A417" t="str">
            <v>082001</v>
          </cell>
          <cell r="B417" t="str">
            <v>LAJE PRE-FABRICADA H-8 PARA FORRO COM CAPA DE 3 CM</v>
          </cell>
          <cell r="C417" t="str">
            <v>M2</v>
          </cell>
          <cell r="D417">
            <v>54.1</v>
          </cell>
        </row>
        <row r="418">
          <cell r="A418" t="str">
            <v>082002</v>
          </cell>
          <cell r="B418" t="str">
            <v>LAJE PRE-FABRICADA H-8 PARA PISO COM CAPA DE 4 CM</v>
          </cell>
          <cell r="C418" t="str">
            <v>M2</v>
          </cell>
          <cell r="D418">
            <v>58.38</v>
          </cell>
        </row>
        <row r="419">
          <cell r="A419" t="str">
            <v>082003</v>
          </cell>
          <cell r="B419" t="str">
            <v>LAJE PRE-FABRICADA H-12 PARA PISO COM CAPA DE 4 CM</v>
          </cell>
          <cell r="C419" t="str">
            <v>M2</v>
          </cell>
          <cell r="D419">
            <v>63.05</v>
          </cell>
        </row>
        <row r="421">
          <cell r="A421" t="str">
            <v>082100</v>
          </cell>
          <cell r="B421" t="str">
            <v>POCO DE VISITA EM ALVENARIA OU ADUELAS DE CONCRETO- DIAMETRO 1,00 M PARA REDES COLETORAS</v>
          </cell>
        </row>
        <row r="422">
          <cell r="A422" t="str">
            <v>082101</v>
          </cell>
          <cell r="B422" t="str">
            <v>PROFUNDIDADE ATE 2,00 M</v>
          </cell>
          <cell r="C422" t="str">
            <v>UN</v>
          </cell>
          <cell r="D422">
            <v>1904.2</v>
          </cell>
        </row>
        <row r="423">
          <cell r="A423" t="str">
            <v>082102</v>
          </cell>
          <cell r="B423" t="str">
            <v>PROFUNDIDADE ATE 3,00 M</v>
          </cell>
          <cell r="C423" t="str">
            <v>UN</v>
          </cell>
          <cell r="D423">
            <v>2348.77</v>
          </cell>
        </row>
        <row r="424">
          <cell r="A424" t="str">
            <v>082103</v>
          </cell>
          <cell r="B424" t="str">
            <v>PROFUNDIDADE ATE 4,00 M</v>
          </cell>
          <cell r="C424" t="str">
            <v>UN</v>
          </cell>
          <cell r="D424">
            <v>3014.53</v>
          </cell>
        </row>
        <row r="425">
          <cell r="A425" t="str">
            <v>082104</v>
          </cell>
          <cell r="B425" t="str">
            <v>PROFUNDIDADE ATE 5,00 M</v>
          </cell>
          <cell r="C425" t="str">
            <v>UN</v>
          </cell>
          <cell r="D425">
            <v>3788.94</v>
          </cell>
        </row>
        <row r="426">
          <cell r="A426" t="str">
            <v>082105</v>
          </cell>
          <cell r="B426" t="str">
            <v>PROFUNDIDADE ATE 6.00 M</v>
          </cell>
          <cell r="C426" t="str">
            <v>UN</v>
          </cell>
          <cell r="D426">
            <v>4441.01</v>
          </cell>
        </row>
        <row r="427">
          <cell r="A427" t="str">
            <v>082106</v>
          </cell>
          <cell r="B427" t="str">
            <v>PROFUNDIDADE ATE 7.00 M</v>
          </cell>
          <cell r="C427" t="str">
            <v>UN</v>
          </cell>
          <cell r="D427">
            <v>5332.8</v>
          </cell>
        </row>
        <row r="429">
          <cell r="A429" t="str">
            <v>082200</v>
          </cell>
          <cell r="B429" t="str">
            <v>POCO DE VISITA EM ALVENARIA OU ADUELAS DE CONCRETO- DIAMETRO 1,20 M PARA REDES COLETORAS</v>
          </cell>
        </row>
        <row r="430">
          <cell r="A430" t="str">
            <v>082201</v>
          </cell>
          <cell r="B430" t="str">
            <v>PROFUNDIDADE ATE 2,00 M</v>
          </cell>
          <cell r="C430" t="str">
            <v>UN</v>
          </cell>
          <cell r="D430">
            <v>2322.2399999999998</v>
          </cell>
        </row>
        <row r="431">
          <cell r="A431" t="str">
            <v>082202</v>
          </cell>
          <cell r="B431" t="str">
            <v>PROFUNDIDADE ATE 3.00 M</v>
          </cell>
          <cell r="C431" t="str">
            <v>UN</v>
          </cell>
          <cell r="D431">
            <v>2832.58</v>
          </cell>
        </row>
        <row r="432">
          <cell r="A432" t="str">
            <v>082203</v>
          </cell>
          <cell r="B432" t="str">
            <v>PROFUNDIDADE ATE 4.00 M</v>
          </cell>
          <cell r="C432" t="str">
            <v>UN</v>
          </cell>
          <cell r="D432">
            <v>3559.55</v>
          </cell>
        </row>
        <row r="433">
          <cell r="A433" t="str">
            <v>082204</v>
          </cell>
          <cell r="B433" t="str">
            <v>PROFUNDIDADE ATE 5,00 M</v>
          </cell>
          <cell r="C433" t="str">
            <v>UN</v>
          </cell>
          <cell r="D433">
            <v>4452.21</v>
          </cell>
        </row>
        <row r="434">
          <cell r="A434" t="str">
            <v>082205</v>
          </cell>
          <cell r="B434" t="str">
            <v>PROFUNDIDADE ATE 6.00 M</v>
          </cell>
          <cell r="C434" t="str">
            <v>UN</v>
          </cell>
          <cell r="D434">
            <v>5209.82</v>
          </cell>
        </row>
        <row r="435">
          <cell r="A435" t="str">
            <v>082206</v>
          </cell>
          <cell r="B435" t="str">
            <v>PROFUNDIDADE ATE 7.00 M</v>
          </cell>
          <cell r="C435" t="str">
            <v>UN</v>
          </cell>
          <cell r="D435">
            <v>6203.25</v>
          </cell>
        </row>
        <row r="437">
          <cell r="A437" t="str">
            <v>082300</v>
          </cell>
          <cell r="B437" t="str">
            <v>POCO DE VISITA EM ALVENARIA OU ADUELAS DE CONCRETO-DIAM.1,00 M P/COLET.TRONCO,EMISS.E INTERCEPTORES</v>
          </cell>
        </row>
        <row r="438">
          <cell r="A438" t="str">
            <v>082301</v>
          </cell>
          <cell r="B438" t="str">
            <v>PROFUNDIDADE ATE 2,00 M</v>
          </cell>
          <cell r="C438" t="str">
            <v>UN</v>
          </cell>
          <cell r="D438">
            <v>1807.48</v>
          </cell>
        </row>
        <row r="439">
          <cell r="A439" t="str">
            <v>082302</v>
          </cell>
          <cell r="B439" t="str">
            <v>PROFUNDIDADE ATE 3,00 M</v>
          </cell>
          <cell r="C439" t="str">
            <v>UN</v>
          </cell>
          <cell r="D439">
            <v>2187.83</v>
          </cell>
        </row>
        <row r="440">
          <cell r="A440" t="str">
            <v>082303</v>
          </cell>
          <cell r="B440" t="str">
            <v>PROFUNDIDADE ATE 4,00 M</v>
          </cell>
          <cell r="C440" t="str">
            <v>UN</v>
          </cell>
          <cell r="D440">
            <v>2804.51</v>
          </cell>
        </row>
        <row r="441">
          <cell r="A441" t="str">
            <v>082304</v>
          </cell>
          <cell r="B441" t="str">
            <v>PROFUNDIDADE ATE 5,00 M</v>
          </cell>
          <cell r="C441" t="str">
            <v>UN</v>
          </cell>
          <cell r="D441">
            <v>3380.68</v>
          </cell>
        </row>
        <row r="442">
          <cell r="A442" t="str">
            <v>082305</v>
          </cell>
          <cell r="B442" t="str">
            <v>PROFUNDIDADE ATE 6,00 M</v>
          </cell>
          <cell r="C442" t="str">
            <v>UN</v>
          </cell>
          <cell r="D442">
            <v>3956.89</v>
          </cell>
        </row>
        <row r="443">
          <cell r="A443" t="str">
            <v>082306</v>
          </cell>
          <cell r="B443" t="str">
            <v>PROFUNDIDADE ATE 7,00 M</v>
          </cell>
          <cell r="C443" t="str">
            <v>UN</v>
          </cell>
          <cell r="D443">
            <v>4533.0600000000004</v>
          </cell>
        </row>
        <row r="445">
          <cell r="A445" t="str">
            <v>082400</v>
          </cell>
          <cell r="B445" t="str">
            <v>POCO DE VISITA EM ALVENARIA OU ADUELAS DE CONCRETO-DIAM.1,20 M P/COLET.TRONCO,EMISS E INTERCEPTORES</v>
          </cell>
        </row>
        <row r="446">
          <cell r="A446" t="str">
            <v>082401</v>
          </cell>
          <cell r="B446" t="str">
            <v>PROFUNDIDADE ATE 2,00 M</v>
          </cell>
          <cell r="C446" t="str">
            <v>UN</v>
          </cell>
          <cell r="D446">
            <v>2213.6999999999998</v>
          </cell>
        </row>
        <row r="447">
          <cell r="A447" t="str">
            <v>082402</v>
          </cell>
          <cell r="B447" t="str">
            <v>PROFUNDIDADE ATE 3,00 M</v>
          </cell>
          <cell r="C447" t="str">
            <v>UN</v>
          </cell>
          <cell r="D447">
            <v>2649.21</v>
          </cell>
        </row>
        <row r="448">
          <cell r="A448" t="str">
            <v>082403</v>
          </cell>
          <cell r="B448" t="str">
            <v>PROFUNDIDADE ATE 4,00 M</v>
          </cell>
          <cell r="C448" t="str">
            <v>UN</v>
          </cell>
          <cell r="D448">
            <v>3323.31</v>
          </cell>
        </row>
        <row r="449">
          <cell r="A449" t="str">
            <v>082404</v>
          </cell>
          <cell r="B449" t="str">
            <v>PROFUNDIDADE ATE 5,00 M</v>
          </cell>
          <cell r="C449" t="str">
            <v>UN</v>
          </cell>
          <cell r="D449">
            <v>3997.4</v>
          </cell>
        </row>
        <row r="450">
          <cell r="A450" t="str">
            <v>082405</v>
          </cell>
          <cell r="B450" t="str">
            <v>PROFUNDIDADE ATE 6,00 M</v>
          </cell>
          <cell r="C450" t="str">
            <v>UN</v>
          </cell>
          <cell r="D450">
            <v>4671.5</v>
          </cell>
        </row>
        <row r="451">
          <cell r="A451" t="str">
            <v>082406</v>
          </cell>
          <cell r="B451" t="str">
            <v>PROFUNDIDADE ATE 7,00 M</v>
          </cell>
          <cell r="C451" t="str">
            <v>UN</v>
          </cell>
          <cell r="D451">
            <v>5345.61</v>
          </cell>
        </row>
        <row r="453">
          <cell r="A453" t="str">
            <v>082500</v>
          </cell>
          <cell r="B453" t="str">
            <v>POCO DE INSPECAO - DIAMETRO 0,60 M</v>
          </cell>
        </row>
        <row r="454">
          <cell r="A454" t="str">
            <v>082501</v>
          </cell>
          <cell r="B454" t="str">
            <v>PROFUNDIDADE ATE 1,60 M - ALVENARIA</v>
          </cell>
          <cell r="C454" t="str">
            <v>UN</v>
          </cell>
          <cell r="D454">
            <v>944.32</v>
          </cell>
        </row>
        <row r="455">
          <cell r="A455" t="str">
            <v>082502</v>
          </cell>
          <cell r="B455" t="str">
            <v>PROFUNDIDADE ATE 1.60 M - ADUELA DE CONCRETO</v>
          </cell>
          <cell r="C455" t="str">
            <v>UN</v>
          </cell>
          <cell r="D455">
            <v>675.14</v>
          </cell>
        </row>
        <row r="456">
          <cell r="A456" t="str">
            <v>082503</v>
          </cell>
          <cell r="B456" t="str">
            <v>PROFUNDIDADE ATE 3.00 M - ADUELA DE CONCRETO</v>
          </cell>
          <cell r="C456" t="str">
            <v>UN</v>
          </cell>
          <cell r="D456">
            <v>890.16</v>
          </cell>
        </row>
        <row r="458">
          <cell r="A458" t="str">
            <v>082600</v>
          </cell>
          <cell r="B458" t="str">
            <v>ADUELA DE CONCRETO ARMADO, PRE-MOLDADA PONTA E BOLSA</v>
          </cell>
        </row>
        <row r="459">
          <cell r="A459" t="str">
            <v>082601</v>
          </cell>
          <cell r="B459" t="str">
            <v>DIAMETRO 0,80 M, H = 1,00 M</v>
          </cell>
          <cell r="C459" t="str">
            <v>UN</v>
          </cell>
          <cell r="D459">
            <v>171.7</v>
          </cell>
        </row>
        <row r="460">
          <cell r="A460" t="str">
            <v>082602</v>
          </cell>
          <cell r="B460" t="str">
            <v>DIAMETRO 1,00 M, H = 0,50 M</v>
          </cell>
          <cell r="C460" t="str">
            <v>UN</v>
          </cell>
          <cell r="D460">
            <v>114.61</v>
          </cell>
        </row>
        <row r="461">
          <cell r="A461" t="str">
            <v>082603</v>
          </cell>
          <cell r="B461" t="str">
            <v>DIAMETRO 1,20 M, H = 0,50 M</v>
          </cell>
          <cell r="C461" t="str">
            <v>UN</v>
          </cell>
          <cell r="D461">
            <v>132.1</v>
          </cell>
        </row>
        <row r="462">
          <cell r="A462" t="str">
            <v>082604</v>
          </cell>
          <cell r="B462" t="str">
            <v>DIAMETRO 1,30 M, H = 0,50 M</v>
          </cell>
          <cell r="C462" t="str">
            <v>UN</v>
          </cell>
          <cell r="D462">
            <v>151.52000000000001</v>
          </cell>
        </row>
        <row r="463">
          <cell r="A463" t="str">
            <v>082605</v>
          </cell>
          <cell r="B463" t="str">
            <v>DIAMETRO 1,50 M, H = 0,50 M</v>
          </cell>
          <cell r="C463" t="str">
            <v>UN</v>
          </cell>
          <cell r="D463">
            <v>171.3</v>
          </cell>
        </row>
        <row r="464">
          <cell r="A464" t="str">
            <v>082606</v>
          </cell>
          <cell r="B464" t="str">
            <v>DIAMETRO 1,80 M, H = 0,50 M</v>
          </cell>
          <cell r="C464" t="str">
            <v>UN</v>
          </cell>
          <cell r="D464">
            <v>282.43</v>
          </cell>
        </row>
        <row r="465">
          <cell r="A465" t="str">
            <v>082607</v>
          </cell>
          <cell r="B465" t="str">
            <v>DIAMETRO 2,12 M, H = 0,50 M</v>
          </cell>
          <cell r="C465" t="str">
            <v>UN</v>
          </cell>
          <cell r="D465">
            <v>385.48</v>
          </cell>
        </row>
        <row r="466">
          <cell r="A466" t="str">
            <v>082608</v>
          </cell>
          <cell r="B466" t="str">
            <v>DIAMETRO 2,50 M, H = 0,50 M</v>
          </cell>
          <cell r="C466" t="str">
            <v>UN</v>
          </cell>
          <cell r="D466">
            <v>486.59</v>
          </cell>
        </row>
        <row r="467">
          <cell r="A467" t="str">
            <v>082609</v>
          </cell>
          <cell r="B467" t="str">
            <v>DIAMETRO 3,00 M, H = 0,50 M</v>
          </cell>
          <cell r="C467" t="str">
            <v>UN</v>
          </cell>
          <cell r="D467">
            <v>560.27</v>
          </cell>
        </row>
        <row r="469">
          <cell r="A469" t="str">
            <v>082700</v>
          </cell>
          <cell r="B469" t="str">
            <v>ADUELA SUCESSIVAS DE CONCRETO ARMADO, MOLDADA IN LOCO</v>
          </cell>
        </row>
        <row r="470">
          <cell r="A470" t="str">
            <v>082701</v>
          </cell>
          <cell r="B470" t="str">
            <v>DIAMETRO 1,50 M</v>
          </cell>
          <cell r="C470" t="str">
            <v>M</v>
          </cell>
          <cell r="D470">
            <v>1375.07</v>
          </cell>
        </row>
        <row r="471">
          <cell r="A471" t="str">
            <v>082702</v>
          </cell>
          <cell r="B471" t="str">
            <v>DIAMETRO 2,00 M</v>
          </cell>
          <cell r="C471" t="str">
            <v>M</v>
          </cell>
          <cell r="D471">
            <v>1779.55</v>
          </cell>
        </row>
        <row r="472">
          <cell r="A472" t="str">
            <v>082703</v>
          </cell>
          <cell r="B472" t="str">
            <v>DIAMETRO 2,50 M</v>
          </cell>
          <cell r="C472" t="str">
            <v>M</v>
          </cell>
          <cell r="D472">
            <v>2184.08</v>
          </cell>
        </row>
        <row r="473">
          <cell r="A473" t="str">
            <v>082704</v>
          </cell>
          <cell r="B473" t="str">
            <v>DIAMETRO 3,00 M</v>
          </cell>
          <cell r="C473" t="str">
            <v>M</v>
          </cell>
          <cell r="D473">
            <v>2588.44</v>
          </cell>
        </row>
        <row r="474">
          <cell r="A474" t="str">
            <v>082705</v>
          </cell>
          <cell r="B474" t="str">
            <v>DIAMETRO 3,80 M</v>
          </cell>
          <cell r="C474" t="str">
            <v>M</v>
          </cell>
          <cell r="D474">
            <v>3235.58</v>
          </cell>
        </row>
        <row r="476">
          <cell r="A476" t="str">
            <v>082800</v>
          </cell>
          <cell r="B476" t="str">
            <v>DISPOSITIVOS ESPECIAIS E ESTRUTURAS ACESSORIAS</v>
          </cell>
        </row>
        <row r="477">
          <cell r="A477" t="str">
            <v>082801</v>
          </cell>
          <cell r="B477" t="str">
            <v>INSTALACAO DE HIDRANTES DE COLUNA</v>
          </cell>
          <cell r="C477" t="str">
            <v>UN</v>
          </cell>
          <cell r="D477">
            <v>223.08</v>
          </cell>
        </row>
        <row r="478">
          <cell r="A478" t="str">
            <v>082802</v>
          </cell>
          <cell r="B478" t="str">
            <v>INSTALACAO DE HIDRANTES SUBTERRANEO</v>
          </cell>
          <cell r="C478" t="str">
            <v>UN</v>
          </cell>
          <cell r="D478">
            <v>232.76</v>
          </cell>
        </row>
        <row r="479">
          <cell r="A479" t="str">
            <v>082803</v>
          </cell>
          <cell r="B479" t="str">
            <v>ASSENTAMENTO DE TUBOS DE QUEDA</v>
          </cell>
          <cell r="C479" t="str">
            <v>M</v>
          </cell>
          <cell r="D479">
            <v>115.35</v>
          </cell>
        </row>
        <row r="480">
          <cell r="A480" t="str">
            <v>082804</v>
          </cell>
          <cell r="B480" t="str">
            <v>ASSENTAMENTO DE TAMPAO DE FERRO FUNDIDO 600 MM</v>
          </cell>
          <cell r="C480" t="str">
            <v>UN</v>
          </cell>
          <cell r="D480">
            <v>35.93</v>
          </cell>
        </row>
        <row r="481">
          <cell r="A481" t="str">
            <v>082805</v>
          </cell>
          <cell r="B481" t="str">
            <v>ASSENTAMENTO DE TAMPAO DE FERRO FUNDIDO 900 MM</v>
          </cell>
          <cell r="C481" t="str">
            <v>UN</v>
          </cell>
          <cell r="D481">
            <v>53.95</v>
          </cell>
        </row>
        <row r="482">
          <cell r="A482" t="str">
            <v>082806</v>
          </cell>
          <cell r="B482" t="str">
            <v>TERMINAL DE LIMPEZA</v>
          </cell>
          <cell r="C482" t="str">
            <v>UN</v>
          </cell>
          <cell r="D482">
            <v>201.86</v>
          </cell>
        </row>
        <row r="483">
          <cell r="A483" t="str">
            <v>082807</v>
          </cell>
          <cell r="B483" t="str">
            <v>DISPOSITIVO DE PROTECAO PARA  REGISTRO EM TUBO DE CONCRETO</v>
          </cell>
          <cell r="C483" t="str">
            <v>UN</v>
          </cell>
          <cell r="D483">
            <v>66.709999999999994</v>
          </cell>
        </row>
        <row r="484">
          <cell r="A484" t="str">
            <v>082808</v>
          </cell>
          <cell r="B484" t="str">
            <v>DISPOSITIVO DE PROTECAO PARA REGISTRO EM TUBO CERAMICO</v>
          </cell>
          <cell r="C484" t="str">
            <v>UN</v>
          </cell>
          <cell r="D484">
            <v>38.380000000000003</v>
          </cell>
        </row>
        <row r="485">
          <cell r="A485" t="str">
            <v>082809</v>
          </cell>
          <cell r="B485" t="str">
            <v>CAIXA PASSAGEM PARA MUDANCA DIAMETRO E/OU DIRECAO - ATE 200 MM</v>
          </cell>
          <cell r="C485" t="str">
            <v>UN</v>
          </cell>
          <cell r="D485">
            <v>163.12</v>
          </cell>
        </row>
        <row r="486">
          <cell r="A486" t="str">
            <v>082810</v>
          </cell>
          <cell r="B486" t="str">
            <v>CAIXA PASSAGEM PARA MUDANCA DIAMETRO E/OU DIRECAO - 250 MM A 450 MM</v>
          </cell>
          <cell r="C486" t="str">
            <v>UN</v>
          </cell>
          <cell r="D486">
            <v>281.7</v>
          </cell>
        </row>
        <row r="487">
          <cell r="A487" t="str">
            <v>082811</v>
          </cell>
          <cell r="B487" t="str">
            <v>BOCA DE LOBO</v>
          </cell>
          <cell r="C487" t="str">
            <v>UN</v>
          </cell>
          <cell r="D487">
            <v>562.88</v>
          </cell>
        </row>
        <row r="488">
          <cell r="A488" t="str">
            <v>082812</v>
          </cell>
          <cell r="B488" t="str">
            <v>EXECUCAO DE TAMPA DE BOCA DE LOBO</v>
          </cell>
          <cell r="C488" t="str">
            <v>UN</v>
          </cell>
          <cell r="D488">
            <v>57.81</v>
          </cell>
        </row>
        <row r="489">
          <cell r="A489" t="str">
            <v>082813</v>
          </cell>
          <cell r="B489" t="str">
            <v>TAMPA DE INSPECAO EM CONCRETO ARMADO</v>
          </cell>
          <cell r="C489" t="str">
            <v>M3</v>
          </cell>
          <cell r="D489">
            <v>842.91</v>
          </cell>
        </row>
        <row r="490">
          <cell r="A490" t="str">
            <v>082814</v>
          </cell>
          <cell r="B490" t="str">
            <v>SAIDA JUNTO AO CORREGO DIAM. ATE 250 MM</v>
          </cell>
          <cell r="C490" t="str">
            <v>UN</v>
          </cell>
          <cell r="D490">
            <v>147.44</v>
          </cell>
        </row>
        <row r="491">
          <cell r="A491" t="str">
            <v>082815</v>
          </cell>
          <cell r="B491" t="str">
            <v>SAIDA JUNTO AO CORREGO DIAM. DE 300 MM A 350 MM</v>
          </cell>
          <cell r="C491" t="str">
            <v>UN</v>
          </cell>
          <cell r="D491">
            <v>169.96</v>
          </cell>
        </row>
        <row r="492">
          <cell r="A492" t="str">
            <v>082816</v>
          </cell>
          <cell r="B492" t="str">
            <v>SAIDA JUNTO AO CORREGO DIAM. DE 400 MM A 600 MM</v>
          </cell>
          <cell r="C492" t="str">
            <v>UN</v>
          </cell>
          <cell r="D492">
            <v>241.32</v>
          </cell>
        </row>
        <row r="494">
          <cell r="A494" t="str">
            <v>082900</v>
          </cell>
          <cell r="B494" t="str">
            <v>CAIXA DE ALVENARIA DE 1 TIJOLO</v>
          </cell>
        </row>
        <row r="495">
          <cell r="A495" t="str">
            <v>082901</v>
          </cell>
          <cell r="B495" t="str">
            <v>(0,80 X 0,80) M</v>
          </cell>
          <cell r="C495" t="str">
            <v>M</v>
          </cell>
          <cell r="D495">
            <v>470.04</v>
          </cell>
        </row>
        <row r="496">
          <cell r="A496" t="str">
            <v>082902</v>
          </cell>
          <cell r="B496" t="str">
            <v>(0,80 X 1,00) M</v>
          </cell>
          <cell r="C496" t="str">
            <v>M</v>
          </cell>
          <cell r="D496">
            <v>524.30999999999995</v>
          </cell>
        </row>
        <row r="497">
          <cell r="A497" t="str">
            <v>082903</v>
          </cell>
          <cell r="B497" t="str">
            <v>(1,00 X 1,00) M</v>
          </cell>
          <cell r="C497" t="str">
            <v>M</v>
          </cell>
          <cell r="D497">
            <v>581.58000000000004</v>
          </cell>
        </row>
        <row r="498">
          <cell r="A498" t="str">
            <v>082904</v>
          </cell>
          <cell r="B498" t="str">
            <v>(1,00 X 1,10) M</v>
          </cell>
          <cell r="C498" t="str">
            <v>M</v>
          </cell>
          <cell r="D498">
            <v>610.32000000000005</v>
          </cell>
        </row>
        <row r="499">
          <cell r="A499" t="str">
            <v>082905</v>
          </cell>
          <cell r="B499" t="str">
            <v>(1,00 X 1,20) M</v>
          </cell>
          <cell r="C499" t="str">
            <v>M</v>
          </cell>
          <cell r="D499">
            <v>631.03</v>
          </cell>
        </row>
        <row r="500">
          <cell r="A500" t="str">
            <v>082906</v>
          </cell>
          <cell r="B500" t="str">
            <v>(1,00 X 1,35) M</v>
          </cell>
          <cell r="C500" t="str">
            <v>M</v>
          </cell>
          <cell r="D500">
            <v>681.98</v>
          </cell>
        </row>
        <row r="501">
          <cell r="A501" t="str">
            <v>082907</v>
          </cell>
          <cell r="B501" t="str">
            <v>(1,00 X 1,50) M</v>
          </cell>
          <cell r="C501" t="str">
            <v>M</v>
          </cell>
          <cell r="D501">
            <v>767.98</v>
          </cell>
        </row>
        <row r="502">
          <cell r="A502" t="str">
            <v>082908</v>
          </cell>
          <cell r="B502" t="str">
            <v>(1,10 X 1,10) M</v>
          </cell>
          <cell r="C502" t="str">
            <v>M</v>
          </cell>
          <cell r="D502">
            <v>639.76</v>
          </cell>
        </row>
        <row r="503">
          <cell r="A503" t="str">
            <v>082909</v>
          </cell>
          <cell r="B503" t="str">
            <v>(1,20 X 1,20) M</v>
          </cell>
          <cell r="C503" t="str">
            <v>M</v>
          </cell>
          <cell r="D503">
            <v>699.43</v>
          </cell>
        </row>
        <row r="504">
          <cell r="A504" t="str">
            <v>082910</v>
          </cell>
          <cell r="B504" t="str">
            <v>(1,20 X 1,50) M</v>
          </cell>
          <cell r="C504" t="str">
            <v>M</v>
          </cell>
          <cell r="D504">
            <v>790.04</v>
          </cell>
        </row>
        <row r="505">
          <cell r="A505" t="str">
            <v>082911</v>
          </cell>
          <cell r="B505" t="str">
            <v>(1,50 X 1,50) M</v>
          </cell>
          <cell r="C505" t="str">
            <v>M</v>
          </cell>
          <cell r="D505">
            <v>887.61</v>
          </cell>
        </row>
        <row r="506">
          <cell r="A506" t="str">
            <v>082912</v>
          </cell>
          <cell r="B506" t="str">
            <v>(1,50 X 2,00) M</v>
          </cell>
          <cell r="C506" t="str">
            <v>M</v>
          </cell>
          <cell r="D506">
            <v>1050.1600000000001</v>
          </cell>
        </row>
        <row r="507">
          <cell r="A507" t="str">
            <v>082913</v>
          </cell>
          <cell r="B507" t="str">
            <v>(2,00 X 2,00) M</v>
          </cell>
          <cell r="C507" t="str">
            <v>M</v>
          </cell>
          <cell r="D507">
            <v>1231.9100000000001</v>
          </cell>
        </row>
        <row r="508">
          <cell r="A508" t="str">
            <v>082914</v>
          </cell>
          <cell r="B508" t="str">
            <v>(2,00 X 2,50) M</v>
          </cell>
          <cell r="C508" t="str">
            <v>M</v>
          </cell>
          <cell r="D508">
            <v>1413.67</v>
          </cell>
        </row>
        <row r="510">
          <cell r="A510" t="str">
            <v>083000</v>
          </cell>
          <cell r="B510" t="str">
            <v>CAIXA DE ALVENARIA DE 1/2 TIJOLO</v>
          </cell>
        </row>
        <row r="511">
          <cell r="A511" t="str">
            <v>083001</v>
          </cell>
          <cell r="B511" t="str">
            <v>(0,60 X 0,60) M</v>
          </cell>
          <cell r="C511" t="str">
            <v>M</v>
          </cell>
          <cell r="D511">
            <v>235.15</v>
          </cell>
        </row>
        <row r="512">
          <cell r="A512" t="str">
            <v>083002</v>
          </cell>
          <cell r="B512" t="str">
            <v>(0,80 X 0,80) M</v>
          </cell>
          <cell r="C512" t="str">
            <v>M</v>
          </cell>
          <cell r="D512">
            <v>317.19</v>
          </cell>
        </row>
        <row r="513">
          <cell r="A513" t="str">
            <v>083003</v>
          </cell>
          <cell r="B513" t="str">
            <v>(0,90 X 0,90) M</v>
          </cell>
          <cell r="C513" t="str">
            <v>M</v>
          </cell>
          <cell r="D513">
            <v>357.33</v>
          </cell>
        </row>
        <row r="514">
          <cell r="A514" t="str">
            <v>083004</v>
          </cell>
          <cell r="B514" t="str">
            <v>(1,00 X 0,80) M</v>
          </cell>
          <cell r="C514" t="str">
            <v>M</v>
          </cell>
          <cell r="D514">
            <v>356.51</v>
          </cell>
        </row>
        <row r="515">
          <cell r="A515" t="str">
            <v>083005</v>
          </cell>
          <cell r="B515" t="str">
            <v>(1,00 X 1,00) M</v>
          </cell>
          <cell r="C515" t="str">
            <v>M</v>
          </cell>
          <cell r="D515">
            <v>400.1</v>
          </cell>
        </row>
        <row r="516">
          <cell r="A516" t="str">
            <v>083006</v>
          </cell>
          <cell r="B516" t="str">
            <v>(1,00 X 1,20) M</v>
          </cell>
          <cell r="C516" t="str">
            <v>M</v>
          </cell>
          <cell r="D516">
            <v>445.78</v>
          </cell>
        </row>
        <row r="518">
          <cell r="A518" t="str">
            <v>083100</v>
          </cell>
          <cell r="B518" t="str">
            <v>DISPOSITIVOS PARA LAGOA</v>
          </cell>
        </row>
        <row r="519">
          <cell r="A519" t="str">
            <v>083101</v>
          </cell>
          <cell r="B519" t="str">
            <v>PLACA DE CONCRETO</v>
          </cell>
          <cell r="C519" t="str">
            <v>M2</v>
          </cell>
          <cell r="D519">
            <v>66.23</v>
          </cell>
        </row>
        <row r="520">
          <cell r="A520" t="str">
            <v>083102</v>
          </cell>
          <cell r="B520" t="str">
            <v>ABRIGO PADRAO</v>
          </cell>
          <cell r="C520" t="str">
            <v>UN</v>
          </cell>
          <cell r="D520">
            <v>7447.21</v>
          </cell>
        </row>
        <row r="521">
          <cell r="A521" t="str">
            <v>083103</v>
          </cell>
          <cell r="B521" t="str">
            <v>CAIXA "1" (1,50 X 1,30) M</v>
          </cell>
          <cell r="C521" t="str">
            <v>M</v>
          </cell>
          <cell r="D521">
            <v>2484.86</v>
          </cell>
        </row>
        <row r="522">
          <cell r="A522" t="str">
            <v>083104</v>
          </cell>
          <cell r="B522" t="str">
            <v>CAIXA "2" (2,40 X 0,80) M</v>
          </cell>
          <cell r="C522" t="str">
            <v>M</v>
          </cell>
          <cell r="D522">
            <v>989.13</v>
          </cell>
        </row>
        <row r="523">
          <cell r="A523" t="str">
            <v>083105</v>
          </cell>
          <cell r="B523" t="str">
            <v>CAIXA "3" (1,60 X 0,80) M</v>
          </cell>
          <cell r="C523" t="str">
            <v>M</v>
          </cell>
          <cell r="D523">
            <v>1140.8699999999999</v>
          </cell>
        </row>
        <row r="524">
          <cell r="A524" t="str">
            <v>083106</v>
          </cell>
          <cell r="B524" t="str">
            <v>CAIXA "4" (0,60 X 0,60) M</v>
          </cell>
          <cell r="C524" t="str">
            <v>M</v>
          </cell>
          <cell r="D524">
            <v>301.35000000000002</v>
          </cell>
        </row>
        <row r="525">
          <cell r="A525" t="str">
            <v>083107</v>
          </cell>
          <cell r="B525" t="str">
            <v>CAIXA "6" (1,50 X 1,00) M</v>
          </cell>
          <cell r="C525" t="str">
            <v>M</v>
          </cell>
          <cell r="D525">
            <v>1224.9100000000001</v>
          </cell>
        </row>
        <row r="526">
          <cell r="A526" t="str">
            <v>083108</v>
          </cell>
          <cell r="B526" t="str">
            <v>CAIXA "7" (0,80 X 0,80) M</v>
          </cell>
          <cell r="C526" t="str">
            <v>M</v>
          </cell>
          <cell r="D526">
            <v>879.66</v>
          </cell>
        </row>
        <row r="527">
          <cell r="A527" t="str">
            <v>083109</v>
          </cell>
          <cell r="B527" t="str">
            <v>CAIXA DE INSPECAO (0,60 X 0,60) M</v>
          </cell>
          <cell r="C527" t="str">
            <v>M</v>
          </cell>
          <cell r="D527">
            <v>419.78</v>
          </cell>
        </row>
        <row r="528">
          <cell r="A528" t="str">
            <v>083110</v>
          </cell>
          <cell r="B528" t="str">
            <v>CAIXA DE INSPECAO (0,80 X 0,80) M</v>
          </cell>
          <cell r="C528" t="str">
            <v>M</v>
          </cell>
          <cell r="D528">
            <v>583.35</v>
          </cell>
        </row>
        <row r="529">
          <cell r="A529" t="str">
            <v>083111</v>
          </cell>
          <cell r="B529" t="str">
            <v>DISPOSITIVO DE SAIDA "A"</v>
          </cell>
          <cell r="C529" t="str">
            <v>UN</v>
          </cell>
          <cell r="D529">
            <v>1022.8</v>
          </cell>
        </row>
        <row r="530">
          <cell r="A530" t="str">
            <v>083112</v>
          </cell>
          <cell r="B530" t="str">
            <v>DISPOSITIVO DE SAIDA "E"</v>
          </cell>
          <cell r="C530" t="str">
            <v>UN</v>
          </cell>
          <cell r="D530">
            <v>8209.8700000000008</v>
          </cell>
        </row>
        <row r="532">
          <cell r="A532" t="str">
            <v>090000</v>
          </cell>
          <cell r="B532" t="str">
            <v>ASSENTAMENTO</v>
          </cell>
        </row>
        <row r="533">
          <cell r="A533" t="str">
            <v>090100</v>
          </cell>
          <cell r="B533" t="str">
            <v>ASSENTAMENTO DE TUBOS E PECAS DE PVC RIGIDO E PVC RIGIDO DEFOFO PARA REDES DE DISTRIBUICAO DE AGUA</v>
          </cell>
        </row>
        <row r="534">
          <cell r="A534" t="str">
            <v>090101</v>
          </cell>
          <cell r="B534" t="str">
            <v>TUBOS E PECAS, DIAMETRO 50 MM - PVC RIGIDO (A)</v>
          </cell>
          <cell r="C534" t="str">
            <v>M</v>
          </cell>
          <cell r="D534">
            <v>4.8600000000000003</v>
          </cell>
        </row>
        <row r="535">
          <cell r="A535" t="str">
            <v>090102</v>
          </cell>
          <cell r="B535" t="str">
            <v>TUBOS E PECAS, DIAMETRO 75 MM - PVC RIGIDO (A)</v>
          </cell>
          <cell r="C535" t="str">
            <v>M</v>
          </cell>
          <cell r="D535">
            <v>5.0199999999999996</v>
          </cell>
        </row>
        <row r="536">
          <cell r="A536" t="str">
            <v>090103</v>
          </cell>
          <cell r="B536" t="str">
            <v>TUBOS E PECAS, DIAMETRO 100 MM - PVC RIGIDO E PVC RIGIDO DEFOFO (A)</v>
          </cell>
          <cell r="C536" t="str">
            <v>M</v>
          </cell>
          <cell r="D536">
            <v>5.28</v>
          </cell>
        </row>
        <row r="537">
          <cell r="A537" t="str">
            <v>090104</v>
          </cell>
          <cell r="B537" t="str">
            <v>TUBOS E PECAS, DIAMETRO 150 MM - PVC RIGIDO E PVC  RIGIDO DEFOFO (A)</v>
          </cell>
          <cell r="C537" t="str">
            <v>M</v>
          </cell>
          <cell r="D537">
            <v>5.85</v>
          </cell>
        </row>
        <row r="538">
          <cell r="A538" t="str">
            <v>090105</v>
          </cell>
          <cell r="B538" t="str">
            <v>TUBOS E PECAS, DIAMETRO 200 MM - PVC RIGIDO E PVC RIGIDO DEFOFO (A)</v>
          </cell>
          <cell r="C538" t="str">
            <v>M</v>
          </cell>
          <cell r="D538">
            <v>6.74</v>
          </cell>
        </row>
        <row r="539">
          <cell r="A539" t="str">
            <v>090106</v>
          </cell>
          <cell r="B539" t="str">
            <v>TUBOS E PECAS, DIAMETRO 250 MM - PVC RIGIDO DEFOFO (A)</v>
          </cell>
          <cell r="C539" t="str">
            <v>M</v>
          </cell>
          <cell r="D539">
            <v>7.94</v>
          </cell>
        </row>
        <row r="540">
          <cell r="A540" t="str">
            <v>090107</v>
          </cell>
          <cell r="B540" t="str">
            <v>TUBOS E PECAS, DIAMETRO 300 MM - PVC RIGIDO DEFOFO (A)</v>
          </cell>
          <cell r="C540" t="str">
            <v>M</v>
          </cell>
          <cell r="D540">
            <v>8.85</v>
          </cell>
        </row>
        <row r="541">
          <cell r="A541" t="str">
            <v>090131</v>
          </cell>
          <cell r="B541" t="str">
            <v>TUBOS E PECAS, DIAM. 50 MM - PVC RIGIDO (B)</v>
          </cell>
          <cell r="C541" t="str">
            <v>M</v>
          </cell>
          <cell r="D541">
            <v>3.85</v>
          </cell>
        </row>
        <row r="542">
          <cell r="A542" t="str">
            <v>090132</v>
          </cell>
          <cell r="B542" t="str">
            <v>TUBOS E PECAS, DIAM. 75 MM - PVC RIGIDO (B)</v>
          </cell>
          <cell r="C542" t="str">
            <v>M</v>
          </cell>
          <cell r="D542">
            <v>4.04</v>
          </cell>
        </row>
        <row r="543">
          <cell r="A543" t="str">
            <v>090133</v>
          </cell>
          <cell r="B543" t="str">
            <v>TUBOS E PECAS, DIAM. 100 MM - PVC RIGIDO E PVC RIGIDO DEFOFO (B)</v>
          </cell>
          <cell r="C543" t="str">
            <v>M</v>
          </cell>
          <cell r="D543">
            <v>4.18</v>
          </cell>
        </row>
        <row r="544">
          <cell r="A544" t="str">
            <v>090134</v>
          </cell>
          <cell r="B544" t="str">
            <v>TUBOS E PECAS, DIAM. 150 MM - PVC RIGIDO E PVC RIGIDO DEFOFO (B)</v>
          </cell>
          <cell r="C544" t="str">
            <v>M</v>
          </cell>
          <cell r="D544">
            <v>4.37</v>
          </cell>
        </row>
        <row r="545">
          <cell r="A545" t="str">
            <v>090135</v>
          </cell>
          <cell r="B545" t="str">
            <v>TUBOS E PECAS, DIAM. 200 MM - PVC RIGIDO E PVC RIGIDO DEFOFO (B)</v>
          </cell>
          <cell r="C545" t="str">
            <v>M</v>
          </cell>
          <cell r="D545">
            <v>5.38</v>
          </cell>
        </row>
        <row r="546">
          <cell r="A546" t="str">
            <v>090136</v>
          </cell>
          <cell r="B546" t="str">
            <v>TUBOS E PECAS, DIAM. 250 MM - PVC RIGIDO DEFOFO (B)</v>
          </cell>
          <cell r="C546" t="str">
            <v>M</v>
          </cell>
          <cell r="D546">
            <v>6.33</v>
          </cell>
        </row>
        <row r="547">
          <cell r="A547" t="str">
            <v>090137</v>
          </cell>
          <cell r="B547" t="str">
            <v>TUBOS E PECAS, DIAM. 300 MM - PVC RIGIDO DEFOFO (B)</v>
          </cell>
          <cell r="C547" t="str">
            <v>M</v>
          </cell>
          <cell r="D547">
            <v>7.1</v>
          </cell>
        </row>
        <row r="548">
          <cell r="A548" t="str">
            <v>090151</v>
          </cell>
          <cell r="B548" t="str">
            <v>TUBOS E PECAS, DIAM. 50 MM - PVC RIGIDO (C)</v>
          </cell>
          <cell r="C548" t="str">
            <v>M</v>
          </cell>
          <cell r="D548">
            <v>2.38</v>
          </cell>
        </row>
        <row r="549">
          <cell r="A549" t="str">
            <v>090152</v>
          </cell>
          <cell r="B549" t="str">
            <v>TUBOS E PECAS, DIAM. 75 MM - PVC RIGIDO (C)</v>
          </cell>
          <cell r="C549" t="str">
            <v>M</v>
          </cell>
          <cell r="D549">
            <v>2.4700000000000002</v>
          </cell>
        </row>
        <row r="550">
          <cell r="A550" t="str">
            <v>090153</v>
          </cell>
          <cell r="B550" t="str">
            <v>TUBOS E PECAS, DIAM. 100 MM - PVC RIGIDO DEFOFO (C)</v>
          </cell>
          <cell r="C550" t="str">
            <v>M</v>
          </cell>
          <cell r="D550">
            <v>2.58</v>
          </cell>
        </row>
        <row r="551">
          <cell r="A551" t="str">
            <v>090154</v>
          </cell>
          <cell r="B551" t="str">
            <v>TUBOS E PECAS, DIAM. 150 MM - PVC RIGIDO E PVC RIGIDO DEFOFO (C)</v>
          </cell>
          <cell r="C551" t="str">
            <v>M</v>
          </cell>
          <cell r="D551">
            <v>2.84</v>
          </cell>
        </row>
        <row r="552">
          <cell r="A552" t="str">
            <v>090155</v>
          </cell>
          <cell r="B552" t="str">
            <v>TUBOS E PECAS, DIAM. 200 MM - PVC RIGIDO E PVC RIGIDO DEFOFO (C)</v>
          </cell>
          <cell r="C552" t="str">
            <v>M</v>
          </cell>
          <cell r="D552">
            <v>3.33</v>
          </cell>
        </row>
        <row r="553">
          <cell r="A553" t="str">
            <v>090156</v>
          </cell>
          <cell r="B553" t="str">
            <v>TUBOS E PECAS, DIAM. 250 MM - PVC RIGIDO DEFOFO (C)</v>
          </cell>
          <cell r="C553" t="str">
            <v>M</v>
          </cell>
          <cell r="D553">
            <v>3.95</v>
          </cell>
        </row>
        <row r="554">
          <cell r="A554" t="str">
            <v>090157</v>
          </cell>
          <cell r="B554" t="str">
            <v>TUBOS E PECAS, DIAM. 300 MM - PVC RIGIDO DEFOFO (C)</v>
          </cell>
          <cell r="C554" t="str">
            <v>M</v>
          </cell>
          <cell r="D554">
            <v>4.37</v>
          </cell>
        </row>
        <row r="556">
          <cell r="A556" t="str">
            <v>090200</v>
          </cell>
          <cell r="B556" t="str">
            <v>ASSENTAMENTO DE TUBOS E PECAS DE FERRO FUNDIDO PARA REDES DE DISTRIBUICAO DE AGUA</v>
          </cell>
        </row>
        <row r="557">
          <cell r="A557" t="str">
            <v>090201</v>
          </cell>
          <cell r="B557" t="str">
            <v>TUBOS E PECAS, DIAMETRO 50 MM (A)</v>
          </cell>
          <cell r="C557" t="str">
            <v>M</v>
          </cell>
          <cell r="D557">
            <v>6.15</v>
          </cell>
        </row>
        <row r="558">
          <cell r="A558" t="str">
            <v>090202</v>
          </cell>
          <cell r="B558" t="str">
            <v>TUBOS E PECAS, DIAMETRO 75 MM (A)</v>
          </cell>
          <cell r="C558" t="str">
            <v>M</v>
          </cell>
          <cell r="D558">
            <v>6.86</v>
          </cell>
        </row>
        <row r="559">
          <cell r="A559" t="str">
            <v>090203</v>
          </cell>
          <cell r="B559" t="str">
            <v>TUBOS E PECAS, DIAMETRO 100 MM (A)</v>
          </cell>
          <cell r="C559" t="str">
            <v>M</v>
          </cell>
          <cell r="D559">
            <v>7.78</v>
          </cell>
        </row>
        <row r="560">
          <cell r="A560" t="str">
            <v>090204</v>
          </cell>
          <cell r="B560" t="str">
            <v>TUBOS E PECAS, DIAMETRO 150 MM (A)</v>
          </cell>
          <cell r="C560" t="str">
            <v>M</v>
          </cell>
          <cell r="D560">
            <v>9.56</v>
          </cell>
        </row>
        <row r="561">
          <cell r="A561" t="str">
            <v>090205</v>
          </cell>
          <cell r="B561" t="str">
            <v>TUBOS E PECAS, DIAMETRO 200 MM (A)</v>
          </cell>
          <cell r="C561" t="str">
            <v>M</v>
          </cell>
          <cell r="D561">
            <v>10.65</v>
          </cell>
        </row>
        <row r="562">
          <cell r="A562" t="str">
            <v>090206</v>
          </cell>
          <cell r="B562" t="str">
            <v>TUBOS E PECAS, DIAMETRO 250 MM (A)</v>
          </cell>
          <cell r="C562" t="str">
            <v>M</v>
          </cell>
          <cell r="D562">
            <v>11.87</v>
          </cell>
        </row>
        <row r="563">
          <cell r="A563" t="str">
            <v>090207</v>
          </cell>
          <cell r="B563" t="str">
            <v>TUBOS E PECAS, DIAMETRO 300 MM (A)</v>
          </cell>
          <cell r="C563" t="str">
            <v>M</v>
          </cell>
          <cell r="D563">
            <v>14.21</v>
          </cell>
        </row>
        <row r="564">
          <cell r="A564" t="str">
            <v>090208</v>
          </cell>
          <cell r="B564" t="str">
            <v>TUBOS E PECAS, DIAMETRO 400 MM (A)</v>
          </cell>
          <cell r="C564" t="str">
            <v>M</v>
          </cell>
          <cell r="D564">
            <v>17.260000000000002</v>
          </cell>
        </row>
        <row r="565">
          <cell r="A565" t="str">
            <v>090209</v>
          </cell>
          <cell r="B565" t="str">
            <v>TUBOS E PECAS, DIAMETRO 500 MM (A)</v>
          </cell>
          <cell r="C565" t="str">
            <v>M</v>
          </cell>
          <cell r="D565">
            <v>20.57</v>
          </cell>
        </row>
        <row r="566">
          <cell r="A566" t="str">
            <v>090210</v>
          </cell>
          <cell r="B566" t="str">
            <v>TUBOS E PECAS, DIAMETRO 600 MM (A)</v>
          </cell>
          <cell r="C566" t="str">
            <v>M</v>
          </cell>
          <cell r="D566">
            <v>24.44</v>
          </cell>
        </row>
        <row r="567">
          <cell r="A567" t="str">
            <v>090231</v>
          </cell>
          <cell r="B567" t="str">
            <v>TUBOS E PECAS, DIAM. 50 MM (B)</v>
          </cell>
          <cell r="C567" t="str">
            <v>M</v>
          </cell>
          <cell r="D567">
            <v>4.92</v>
          </cell>
        </row>
        <row r="568">
          <cell r="A568" t="str">
            <v>090232</v>
          </cell>
          <cell r="B568" t="str">
            <v>TUBOS E PECAS, DIAM. 75 MM (B)</v>
          </cell>
          <cell r="C568" t="str">
            <v>M</v>
          </cell>
          <cell r="D568">
            <v>5.49</v>
          </cell>
        </row>
        <row r="569">
          <cell r="A569" t="str">
            <v>090233</v>
          </cell>
          <cell r="B569" t="str">
            <v>TUBOS E PECAS, DIAM. 100 MM (B)</v>
          </cell>
          <cell r="C569" t="str">
            <v>M</v>
          </cell>
          <cell r="D569">
            <v>6.19</v>
          </cell>
        </row>
        <row r="570">
          <cell r="A570" t="str">
            <v>090234</v>
          </cell>
          <cell r="B570" t="str">
            <v>TUBOS E PECAS, DIAM. 150 MM (B)</v>
          </cell>
          <cell r="C570" t="str">
            <v>M</v>
          </cell>
          <cell r="D570">
            <v>7.66</v>
          </cell>
        </row>
        <row r="571">
          <cell r="A571" t="str">
            <v>090235</v>
          </cell>
          <cell r="B571" t="str">
            <v>TUBOS E PECAS, DIAM. 200 MM (B)</v>
          </cell>
          <cell r="C571" t="str">
            <v>M</v>
          </cell>
          <cell r="D571">
            <v>8.48</v>
          </cell>
        </row>
        <row r="572">
          <cell r="A572" t="str">
            <v>090236</v>
          </cell>
          <cell r="B572" t="str">
            <v>TUBOS E PECAS, DIAM. 250 MM (B)</v>
          </cell>
          <cell r="C572" t="str">
            <v>M</v>
          </cell>
          <cell r="D572">
            <v>9.48</v>
          </cell>
        </row>
        <row r="573">
          <cell r="A573" t="str">
            <v>090237</v>
          </cell>
          <cell r="B573" t="str">
            <v>TUBOS E PECAS, DIAM. 300 MM (B)</v>
          </cell>
          <cell r="C573" t="str">
            <v>M</v>
          </cell>
          <cell r="D573">
            <v>11.37</v>
          </cell>
        </row>
        <row r="574">
          <cell r="A574" t="str">
            <v>090238</v>
          </cell>
          <cell r="B574" t="str">
            <v>TUBOS E PECAS, DIAM. 400 MM (B)</v>
          </cell>
          <cell r="C574" t="str">
            <v>M</v>
          </cell>
          <cell r="D574">
            <v>13.77</v>
          </cell>
        </row>
        <row r="575">
          <cell r="A575" t="str">
            <v>090239</v>
          </cell>
          <cell r="B575" t="str">
            <v>TUBOS E PECAS, DIAMETRO, 500 MM (B)</v>
          </cell>
          <cell r="C575" t="str">
            <v>M</v>
          </cell>
          <cell r="D575">
            <v>16.46</v>
          </cell>
        </row>
        <row r="576">
          <cell r="A576" t="str">
            <v>090240</v>
          </cell>
          <cell r="B576" t="str">
            <v>TUBOS E PECAS, DIAM. 600 MM (B)</v>
          </cell>
          <cell r="C576" t="str">
            <v>M</v>
          </cell>
          <cell r="D576">
            <v>17.48</v>
          </cell>
        </row>
        <row r="577">
          <cell r="A577" t="str">
            <v>090251</v>
          </cell>
          <cell r="B577" t="str">
            <v>TUBOS E PECAS, DIAM. 50 MM (C)</v>
          </cell>
          <cell r="C577" t="str">
            <v>M</v>
          </cell>
          <cell r="D577">
            <v>3.03</v>
          </cell>
        </row>
        <row r="578">
          <cell r="A578" t="str">
            <v>090252</v>
          </cell>
          <cell r="B578" t="str">
            <v>TUBOS E PECAS, DIAM. 75 MM (C)</v>
          </cell>
          <cell r="C578" t="str">
            <v>M</v>
          </cell>
          <cell r="D578">
            <v>3.39</v>
          </cell>
        </row>
        <row r="579">
          <cell r="A579" t="str">
            <v>090253</v>
          </cell>
          <cell r="B579" t="str">
            <v>TUBOS E PECAS, DIAM. 100 MM (C)</v>
          </cell>
          <cell r="C579" t="str">
            <v>M</v>
          </cell>
          <cell r="D579">
            <v>3.84</v>
          </cell>
        </row>
        <row r="580">
          <cell r="A580" t="str">
            <v>090254</v>
          </cell>
          <cell r="B580" t="str">
            <v>TUBOS E PECAS, DIAM. 150 MM (C)</v>
          </cell>
          <cell r="C580" t="str">
            <v>M</v>
          </cell>
          <cell r="D580">
            <v>4.7</v>
          </cell>
        </row>
        <row r="581">
          <cell r="A581" t="str">
            <v>090255</v>
          </cell>
          <cell r="B581" t="str">
            <v>TUBOS E PECAS, DIAM. 200 MM (C)</v>
          </cell>
          <cell r="C581" t="str">
            <v>M</v>
          </cell>
          <cell r="D581">
            <v>5.25</v>
          </cell>
        </row>
        <row r="582">
          <cell r="A582" t="str">
            <v>090256</v>
          </cell>
          <cell r="B582" t="str">
            <v>TUBOS E PECAS, DIAM. 250 MM (C)</v>
          </cell>
          <cell r="C582" t="str">
            <v>M</v>
          </cell>
          <cell r="D582">
            <v>5.89</v>
          </cell>
        </row>
        <row r="583">
          <cell r="A583" t="str">
            <v>090257</v>
          </cell>
          <cell r="B583" t="str">
            <v>TUBOS E PECAS, DIAM. 300 MM (C)</v>
          </cell>
          <cell r="C583" t="str">
            <v>M</v>
          </cell>
          <cell r="D583">
            <v>7.04</v>
          </cell>
        </row>
        <row r="584">
          <cell r="A584" t="str">
            <v>090258</v>
          </cell>
          <cell r="B584" t="str">
            <v>TUBOS E PECAS, DIAM. 400 MM (C)</v>
          </cell>
          <cell r="C584" t="str">
            <v>M</v>
          </cell>
          <cell r="D584">
            <v>8.56</v>
          </cell>
        </row>
        <row r="585">
          <cell r="A585" t="str">
            <v>090259</v>
          </cell>
          <cell r="B585" t="str">
            <v>TUBOS E PECAS, DIAM. 500 MM (C)</v>
          </cell>
          <cell r="C585" t="str">
            <v>M</v>
          </cell>
          <cell r="D585">
            <v>10.220000000000001</v>
          </cell>
        </row>
        <row r="586">
          <cell r="A586" t="str">
            <v>090260</v>
          </cell>
          <cell r="B586" t="str">
            <v>TUBOS E PECAS, DIAM. 600 MM (C)</v>
          </cell>
          <cell r="C586" t="str">
            <v>M</v>
          </cell>
          <cell r="D586">
            <v>12.12</v>
          </cell>
        </row>
        <row r="588">
          <cell r="A588" t="str">
            <v>090400</v>
          </cell>
          <cell r="B588" t="str">
            <v>ASSENTAMENTO SIMPLES DE TUBOS E PECAS DE CERAMICA</v>
          </cell>
        </row>
        <row r="589">
          <cell r="A589" t="str">
            <v>090401</v>
          </cell>
          <cell r="B589" t="str">
            <v>TUBOS E PECAS, DIAMETRO 100 MM (A)</v>
          </cell>
          <cell r="C589" t="str">
            <v>M</v>
          </cell>
          <cell r="D589">
            <v>5.24</v>
          </cell>
        </row>
        <row r="590">
          <cell r="A590" t="str">
            <v>090402</v>
          </cell>
          <cell r="B590" t="str">
            <v>TUBOS E PECAS, DIAMETRO 150 MM (A)</v>
          </cell>
          <cell r="C590" t="str">
            <v>M</v>
          </cell>
          <cell r="D590">
            <v>6.63</v>
          </cell>
        </row>
        <row r="591">
          <cell r="A591" t="str">
            <v>090403</v>
          </cell>
          <cell r="B591" t="str">
            <v>TUBOS E PECAS, DIAMETRO 200 MM (A)</v>
          </cell>
          <cell r="C591" t="str">
            <v>M</v>
          </cell>
          <cell r="D591">
            <v>8.07</v>
          </cell>
        </row>
        <row r="592">
          <cell r="A592" t="str">
            <v>090404</v>
          </cell>
          <cell r="B592" t="str">
            <v>TUBOS E PECAS, DIAMETRO 250 MM (A)</v>
          </cell>
          <cell r="C592" t="str">
            <v>M</v>
          </cell>
          <cell r="D592">
            <v>9.65</v>
          </cell>
        </row>
        <row r="593">
          <cell r="A593" t="str">
            <v>090405</v>
          </cell>
          <cell r="B593" t="str">
            <v>TUBOS E PECAS, DIAMETRO 300 MM (A)</v>
          </cell>
          <cell r="C593" t="str">
            <v>M</v>
          </cell>
          <cell r="D593">
            <v>11.03</v>
          </cell>
        </row>
        <row r="594">
          <cell r="A594" t="str">
            <v>090406</v>
          </cell>
          <cell r="B594" t="str">
            <v>TUBOS E PECAS, DIAMETRO 375 MM (A)</v>
          </cell>
          <cell r="C594" t="str">
            <v>M</v>
          </cell>
          <cell r="D594">
            <v>12.6</v>
          </cell>
        </row>
        <row r="595">
          <cell r="A595" t="str">
            <v>090407</v>
          </cell>
          <cell r="B595" t="str">
            <v>TUBOS E PECAS, DIAMETRO 450 MM (A)</v>
          </cell>
          <cell r="C595" t="str">
            <v>M</v>
          </cell>
          <cell r="D595">
            <v>14.37</v>
          </cell>
        </row>
        <row r="596">
          <cell r="A596" t="str">
            <v>090431</v>
          </cell>
          <cell r="B596" t="str">
            <v>TUBOS E PECAS, DIAM. 100 MM (B)</v>
          </cell>
          <cell r="C596" t="str">
            <v>M</v>
          </cell>
          <cell r="D596">
            <v>4.6100000000000003</v>
          </cell>
        </row>
        <row r="597">
          <cell r="A597" t="str">
            <v>090432</v>
          </cell>
          <cell r="B597" t="str">
            <v>TUBOS E PECAS, DIAM. 150 MM (B)</v>
          </cell>
          <cell r="C597" t="str">
            <v>M</v>
          </cell>
          <cell r="D597">
            <v>5.79</v>
          </cell>
        </row>
        <row r="598">
          <cell r="A598" t="str">
            <v>090433</v>
          </cell>
          <cell r="B598" t="str">
            <v>TUBOS E PECAS, DIAM. 200 MM (B)</v>
          </cell>
          <cell r="C598" t="str">
            <v>M</v>
          </cell>
          <cell r="D598">
            <v>6.98</v>
          </cell>
        </row>
        <row r="599">
          <cell r="A599" t="str">
            <v>090434</v>
          </cell>
          <cell r="B599" t="str">
            <v>TUBOS E PECAS, DIAM. 250 MM (B)</v>
          </cell>
          <cell r="C599" t="str">
            <v>M</v>
          </cell>
          <cell r="D599">
            <v>8.4700000000000006</v>
          </cell>
        </row>
        <row r="600">
          <cell r="A600" t="str">
            <v>090435</v>
          </cell>
          <cell r="B600" t="str">
            <v>TUBOS E PECAS, DIAM. 300 MM (B)</v>
          </cell>
          <cell r="C600" t="str">
            <v>M</v>
          </cell>
          <cell r="D600">
            <v>9.77</v>
          </cell>
        </row>
        <row r="601">
          <cell r="A601" t="str">
            <v>090436</v>
          </cell>
          <cell r="B601" t="str">
            <v>TUBOS E PECAS, DIAM. 375 MM (B)</v>
          </cell>
          <cell r="C601" t="str">
            <v>M</v>
          </cell>
          <cell r="D601">
            <v>11.25</v>
          </cell>
        </row>
        <row r="602">
          <cell r="A602" t="str">
            <v>090437</v>
          </cell>
          <cell r="B602" t="str">
            <v>TUBOS E PECAS, DIAM. 450 MM (B)</v>
          </cell>
          <cell r="C602" t="str">
            <v>M</v>
          </cell>
          <cell r="D602">
            <v>12.92</v>
          </cell>
        </row>
        <row r="603">
          <cell r="A603" t="str">
            <v>090451</v>
          </cell>
          <cell r="B603" t="str">
            <v>TUBOS E PECAS, DIAM. 100 MM (C)</v>
          </cell>
          <cell r="C603" t="str">
            <v>M</v>
          </cell>
          <cell r="D603">
            <v>3.67</v>
          </cell>
        </row>
        <row r="604">
          <cell r="A604" t="str">
            <v>090452</v>
          </cell>
          <cell r="B604" t="str">
            <v>TUBOS E PECAS, DIAM. 150 MM (C)</v>
          </cell>
          <cell r="C604" t="str">
            <v>M</v>
          </cell>
          <cell r="D604">
            <v>4.53</v>
          </cell>
        </row>
        <row r="605">
          <cell r="A605" t="str">
            <v>090453</v>
          </cell>
          <cell r="B605" t="str">
            <v>TUBOS E PECAS, DIAM. 200 MM (C)</v>
          </cell>
          <cell r="C605" t="str">
            <v>M</v>
          </cell>
          <cell r="D605">
            <v>5.41</v>
          </cell>
        </row>
        <row r="606">
          <cell r="A606" t="str">
            <v>090454</v>
          </cell>
          <cell r="B606" t="str">
            <v>TUBOS E PECAS, DIAM. 250 MM (C)</v>
          </cell>
          <cell r="C606" t="str">
            <v>M</v>
          </cell>
          <cell r="D606">
            <v>6.7</v>
          </cell>
        </row>
        <row r="607">
          <cell r="A607" t="str">
            <v>090455</v>
          </cell>
          <cell r="B607" t="str">
            <v>TUBOS E PECAS, DIAM. 300 MM (C)</v>
          </cell>
          <cell r="C607" t="str">
            <v>M</v>
          </cell>
          <cell r="D607">
            <v>7.88</v>
          </cell>
        </row>
        <row r="608">
          <cell r="A608" t="str">
            <v>090456</v>
          </cell>
          <cell r="B608" t="str">
            <v>TUBOS E PECAS, DIAM. 375 MM (C)</v>
          </cell>
          <cell r="C608" t="str">
            <v>M</v>
          </cell>
          <cell r="D608">
            <v>9.24</v>
          </cell>
        </row>
        <row r="609">
          <cell r="A609" t="str">
            <v>090457</v>
          </cell>
          <cell r="B609" t="str">
            <v>TUBOS E PECAS, DIAM. 450 MM (C)</v>
          </cell>
          <cell r="C609" t="str">
            <v>M</v>
          </cell>
          <cell r="D609">
            <v>10.69</v>
          </cell>
        </row>
        <row r="611">
          <cell r="A611" t="str">
            <v>090600</v>
          </cell>
          <cell r="B611" t="str">
            <v>ASSENTAMENTO SIMPLES DE TUBOS E PECAS DE PVC RIGIDO E PVC RIGIDO DEFOFO</v>
          </cell>
        </row>
        <row r="612">
          <cell r="A612" t="str">
            <v>090601</v>
          </cell>
          <cell r="B612" t="str">
            <v>TUBOS E PECAS, DIAMETRO 50 MM (A)</v>
          </cell>
          <cell r="C612" t="str">
            <v>M</v>
          </cell>
          <cell r="D612">
            <v>0.43</v>
          </cell>
        </row>
        <row r="613">
          <cell r="A613" t="str">
            <v>090602</v>
          </cell>
          <cell r="B613" t="str">
            <v>TUBOS E PECAS, DIAMETRO 75 MM (A)</v>
          </cell>
          <cell r="C613" t="str">
            <v>M</v>
          </cell>
          <cell r="D613">
            <v>0.51</v>
          </cell>
        </row>
        <row r="614">
          <cell r="A614" t="str">
            <v>090603</v>
          </cell>
          <cell r="B614" t="str">
            <v>TUBOS E PECAS, DIAMETRO 100 MM (A)</v>
          </cell>
          <cell r="C614" t="str">
            <v>M</v>
          </cell>
          <cell r="D614">
            <v>0.7</v>
          </cell>
        </row>
        <row r="615">
          <cell r="A615" t="str">
            <v>090604</v>
          </cell>
          <cell r="B615" t="str">
            <v>TUBOS E PECAS, DIAMETRO 150 MM (A)</v>
          </cell>
          <cell r="C615" t="str">
            <v>M</v>
          </cell>
          <cell r="D615">
            <v>1.1100000000000001</v>
          </cell>
        </row>
        <row r="616">
          <cell r="A616" t="str">
            <v>090605</v>
          </cell>
          <cell r="B616" t="str">
            <v>TUBOS E PECAS, DIAMETRO 200 MM (A)</v>
          </cell>
          <cell r="C616" t="str">
            <v>M</v>
          </cell>
          <cell r="D616">
            <v>1.4</v>
          </cell>
        </row>
        <row r="617">
          <cell r="A617" t="str">
            <v>090606</v>
          </cell>
          <cell r="B617" t="str">
            <v>TUBOS E PECAS, DIAMETRO 300 MM (A)</v>
          </cell>
          <cell r="C617" t="str">
            <v>M</v>
          </cell>
          <cell r="D617">
            <v>2.2599999999999998</v>
          </cell>
        </row>
        <row r="618">
          <cell r="A618" t="str">
            <v>090607</v>
          </cell>
          <cell r="B618" t="str">
            <v>TUBOS E PECAS, DIAMETRO 400 MM (A)</v>
          </cell>
          <cell r="C618" t="str">
            <v>M</v>
          </cell>
          <cell r="D618">
            <v>2.85</v>
          </cell>
        </row>
        <row r="619">
          <cell r="A619" t="str">
            <v>090631</v>
          </cell>
          <cell r="B619" t="str">
            <v>TUBOS E PECAS, DIAM. 50 MM (B)</v>
          </cell>
          <cell r="C619" t="str">
            <v>M</v>
          </cell>
          <cell r="D619">
            <v>0.31</v>
          </cell>
        </row>
        <row r="620">
          <cell r="A620" t="str">
            <v>090632</v>
          </cell>
          <cell r="B620" t="str">
            <v>TUBOS E PECAS, DIAM. 75 MM (B)</v>
          </cell>
          <cell r="C620" t="str">
            <v>M</v>
          </cell>
          <cell r="D620">
            <v>0.43</v>
          </cell>
        </row>
        <row r="621">
          <cell r="A621" t="str">
            <v>090633</v>
          </cell>
          <cell r="B621" t="str">
            <v>TUBOS E PECAS, DIAM. 100 MM (B)</v>
          </cell>
          <cell r="C621" t="str">
            <v>M</v>
          </cell>
          <cell r="D621">
            <v>0.51</v>
          </cell>
        </row>
        <row r="622">
          <cell r="A622" t="str">
            <v>090634</v>
          </cell>
          <cell r="B622" t="str">
            <v>TUBOS E PECAS, DIAM. 150 MM (B)</v>
          </cell>
          <cell r="C622" t="str">
            <v>M</v>
          </cell>
          <cell r="D622">
            <v>0.9</v>
          </cell>
        </row>
        <row r="623">
          <cell r="A623" t="str">
            <v>090635</v>
          </cell>
          <cell r="B623" t="str">
            <v>TUBOS E PECAS, DIAM. 200 MM (B)</v>
          </cell>
          <cell r="C623" t="str">
            <v>M</v>
          </cell>
          <cell r="D623">
            <v>1.1100000000000001</v>
          </cell>
        </row>
        <row r="624">
          <cell r="A624" t="str">
            <v>090636</v>
          </cell>
          <cell r="B624" t="str">
            <v>TUBOS E PECAS, DIAM. 300 MM (B)</v>
          </cell>
          <cell r="C624" t="str">
            <v>M</v>
          </cell>
          <cell r="D624">
            <v>1.82</v>
          </cell>
        </row>
        <row r="625">
          <cell r="A625" t="str">
            <v>090637</v>
          </cell>
          <cell r="B625" t="str">
            <v>TUBOS E PECAS, DIAM. 400 MM (B)</v>
          </cell>
          <cell r="C625" t="str">
            <v>M</v>
          </cell>
          <cell r="D625">
            <v>2.2599999999999998</v>
          </cell>
        </row>
        <row r="626">
          <cell r="A626" t="str">
            <v>090651</v>
          </cell>
          <cell r="B626" t="str">
            <v>TUBOS E PECAS, DIAM. 50 MM (C)</v>
          </cell>
          <cell r="C626" t="str">
            <v>M</v>
          </cell>
          <cell r="D626">
            <v>0.19</v>
          </cell>
        </row>
        <row r="627">
          <cell r="A627" t="str">
            <v>090652</v>
          </cell>
          <cell r="B627" t="str">
            <v>TUBOS E PECAS, DIAM. 75 MM (C)</v>
          </cell>
          <cell r="C627" t="str">
            <v>M</v>
          </cell>
          <cell r="D627">
            <v>0.25</v>
          </cell>
        </row>
        <row r="628">
          <cell r="A628" t="str">
            <v>090653</v>
          </cell>
          <cell r="B628" t="str">
            <v>TUBOS E PECAS, DIAM. 100 MM (C)</v>
          </cell>
          <cell r="C628" t="str">
            <v>M</v>
          </cell>
          <cell r="D628">
            <v>0.31</v>
          </cell>
        </row>
        <row r="629">
          <cell r="A629" t="str">
            <v>090654</v>
          </cell>
          <cell r="B629" t="str">
            <v>TUBOS E PECAS, DIAM. 150 MM (C)</v>
          </cell>
          <cell r="C629" t="str">
            <v>M</v>
          </cell>
          <cell r="D629">
            <v>0.51</v>
          </cell>
        </row>
        <row r="630">
          <cell r="A630" t="str">
            <v>090655</v>
          </cell>
          <cell r="B630" t="str">
            <v>TUBOS E PECAS, DIAM. 200 MM (C)</v>
          </cell>
          <cell r="C630" t="str">
            <v>M</v>
          </cell>
          <cell r="D630">
            <v>0.7</v>
          </cell>
        </row>
        <row r="631">
          <cell r="A631" t="str">
            <v>090656</v>
          </cell>
          <cell r="B631" t="str">
            <v>TUBOS E PECAS, DIAM. 300 MM (C)</v>
          </cell>
          <cell r="C631" t="str">
            <v>M</v>
          </cell>
          <cell r="D631">
            <v>1.1100000000000001</v>
          </cell>
        </row>
        <row r="632">
          <cell r="A632" t="str">
            <v>090657</v>
          </cell>
          <cell r="B632" t="str">
            <v>TUBOS E PECAS, DIAM. 400 MM (C)</v>
          </cell>
          <cell r="C632" t="str">
            <v>M</v>
          </cell>
          <cell r="D632">
            <v>1.4</v>
          </cell>
        </row>
        <row r="634">
          <cell r="A634" t="str">
            <v>090700</v>
          </cell>
          <cell r="B634" t="str">
            <v>ASSENTAMENTO SIMPLES DE TUBOS E PECAS DE FERRO FUNDIDO</v>
          </cell>
        </row>
        <row r="635">
          <cell r="A635" t="str">
            <v>090701</v>
          </cell>
          <cell r="B635" t="str">
            <v>TUBOS E PECAS, DIAMETRO 50 MM (A)</v>
          </cell>
          <cell r="C635" t="str">
            <v>M</v>
          </cell>
          <cell r="D635">
            <v>1.72</v>
          </cell>
        </row>
        <row r="636">
          <cell r="A636" t="str">
            <v>090702</v>
          </cell>
          <cell r="B636" t="str">
            <v>TUBOS E PECAS, DIAMETRO 75 MM (A)</v>
          </cell>
          <cell r="C636" t="str">
            <v>M</v>
          </cell>
          <cell r="D636">
            <v>2.35</v>
          </cell>
        </row>
        <row r="637">
          <cell r="A637" t="str">
            <v>090703</v>
          </cell>
          <cell r="B637" t="str">
            <v>TUBOS E PECAS, DIAMETRO 100 MM (A)</v>
          </cell>
          <cell r="C637" t="str">
            <v>M</v>
          </cell>
          <cell r="D637">
            <v>3.2</v>
          </cell>
        </row>
        <row r="638">
          <cell r="A638" t="str">
            <v>090704</v>
          </cell>
          <cell r="B638" t="str">
            <v>TUBOS E PECAS, DIAMETRO 150 MM (A)</v>
          </cell>
          <cell r="C638" t="str">
            <v>M</v>
          </cell>
          <cell r="D638">
            <v>4.82</v>
          </cell>
        </row>
        <row r="639">
          <cell r="A639" t="str">
            <v>090705</v>
          </cell>
          <cell r="B639" t="str">
            <v>TUBOS E PECAS, DIAMETRO 200 MM (A)</v>
          </cell>
          <cell r="C639" t="str">
            <v>M</v>
          </cell>
          <cell r="D639">
            <v>5.32</v>
          </cell>
        </row>
        <row r="640">
          <cell r="A640" t="str">
            <v>090706</v>
          </cell>
          <cell r="B640" t="str">
            <v>TUBOS E PECAS, DIAMETRO 250 MM (A)</v>
          </cell>
          <cell r="C640" t="str">
            <v>M</v>
          </cell>
          <cell r="D640">
            <v>5.93</v>
          </cell>
        </row>
        <row r="641">
          <cell r="A641" t="str">
            <v>090707</v>
          </cell>
          <cell r="B641" t="str">
            <v>TUBOS E PECAS, DIAMETRO 300 MM (A)</v>
          </cell>
          <cell r="C641" t="str">
            <v>M</v>
          </cell>
          <cell r="D641">
            <v>7.62</v>
          </cell>
        </row>
        <row r="642">
          <cell r="A642" t="str">
            <v>090708</v>
          </cell>
          <cell r="B642" t="str">
            <v>TUBOS E PECAS, DIAMETRO 400 MM (A)</v>
          </cell>
          <cell r="C642" t="str">
            <v>M</v>
          </cell>
          <cell r="D642">
            <v>9.33</v>
          </cell>
        </row>
        <row r="643">
          <cell r="A643" t="str">
            <v>090709</v>
          </cell>
          <cell r="B643" t="str">
            <v>TUBOS E PECAS, DIAMETRO 500 MM (A)</v>
          </cell>
          <cell r="C643" t="str">
            <v>M</v>
          </cell>
          <cell r="D643">
            <v>11.25</v>
          </cell>
        </row>
        <row r="644">
          <cell r="A644" t="str">
            <v>090710</v>
          </cell>
          <cell r="B644" t="str">
            <v>TUBOS E PECAS, DIAMETRO 600 MM (A)</v>
          </cell>
          <cell r="C644" t="str">
            <v>M</v>
          </cell>
          <cell r="D644">
            <v>13.63</v>
          </cell>
        </row>
        <row r="645">
          <cell r="A645" t="str">
            <v>090711</v>
          </cell>
          <cell r="B645" t="str">
            <v>TUBOS E PECAS, DIAMETRO 700 MM (A)</v>
          </cell>
          <cell r="C645" t="str">
            <v>M</v>
          </cell>
          <cell r="D645">
            <v>17.38</v>
          </cell>
        </row>
        <row r="646">
          <cell r="A646" t="str">
            <v>090712</v>
          </cell>
          <cell r="B646" t="str">
            <v>TUBOS E PECAS, DIAMETRO 800 MM (A)</v>
          </cell>
          <cell r="C646" t="str">
            <v>M</v>
          </cell>
          <cell r="D646">
            <v>21.74</v>
          </cell>
        </row>
        <row r="647">
          <cell r="A647" t="str">
            <v>090731</v>
          </cell>
          <cell r="B647" t="str">
            <v>TUBOS E PECAS, DIAM. 50 MM (B)</v>
          </cell>
          <cell r="C647" t="str">
            <v>M</v>
          </cell>
          <cell r="D647">
            <v>1.38</v>
          </cell>
        </row>
        <row r="648">
          <cell r="A648" t="str">
            <v>090732</v>
          </cell>
          <cell r="B648" t="str">
            <v>TUBOS E PECAS, DIAM. 75 MM (B)</v>
          </cell>
          <cell r="C648" t="str">
            <v>M</v>
          </cell>
          <cell r="D648">
            <v>1.88</v>
          </cell>
        </row>
        <row r="649">
          <cell r="A649" t="str">
            <v>090733</v>
          </cell>
          <cell r="B649" t="str">
            <v>TUBOS E PECAS, DIAM. 100 MM (B)</v>
          </cell>
          <cell r="C649" t="str">
            <v>M</v>
          </cell>
          <cell r="D649">
            <v>2.52</v>
          </cell>
        </row>
        <row r="650">
          <cell r="A650" t="str">
            <v>090734</v>
          </cell>
          <cell r="B650" t="str">
            <v>TUBOS E PECAS, DIAM. 150 MM (B)</v>
          </cell>
          <cell r="C650" t="str">
            <v>M</v>
          </cell>
          <cell r="D650">
            <v>3.87</v>
          </cell>
        </row>
        <row r="651">
          <cell r="A651" t="str">
            <v>090735</v>
          </cell>
          <cell r="B651" t="str">
            <v>TUBOS E PECAS, DIAM. 200 MM (B)</v>
          </cell>
          <cell r="C651" t="str">
            <v>M</v>
          </cell>
          <cell r="D651">
            <v>4.21</v>
          </cell>
        </row>
        <row r="652">
          <cell r="A652" t="str">
            <v>090736</v>
          </cell>
          <cell r="B652" t="str">
            <v>TUBOS E PECAS, DIAM. 250 MM (B)</v>
          </cell>
          <cell r="C652" t="str">
            <v>M</v>
          </cell>
          <cell r="D652">
            <v>4.7300000000000004</v>
          </cell>
        </row>
        <row r="653">
          <cell r="A653" t="str">
            <v>090737</v>
          </cell>
          <cell r="B653" t="str">
            <v>TUBOS E PECAS, DIAM. 300 MM (B)</v>
          </cell>
          <cell r="C653" t="str">
            <v>M</v>
          </cell>
          <cell r="D653">
            <v>6.09</v>
          </cell>
        </row>
        <row r="654">
          <cell r="A654" t="str">
            <v>090738</v>
          </cell>
          <cell r="B654" t="str">
            <v>TUBOS E PECAS, DIAM. 400 MM (B)</v>
          </cell>
          <cell r="C654" t="str">
            <v>M</v>
          </cell>
          <cell r="D654">
            <v>7.44</v>
          </cell>
        </row>
        <row r="655">
          <cell r="A655" t="str">
            <v>090739</v>
          </cell>
          <cell r="B655" t="str">
            <v>TUBOS E PECAS, DIAM. 500 MM (B)</v>
          </cell>
          <cell r="C655" t="str">
            <v>M</v>
          </cell>
          <cell r="D655">
            <v>9</v>
          </cell>
        </row>
        <row r="656">
          <cell r="A656" t="str">
            <v>090740</v>
          </cell>
          <cell r="B656" t="str">
            <v>TUBOS E PECAS, DIAM. 600 MM (B)</v>
          </cell>
          <cell r="C656" t="str">
            <v>M</v>
          </cell>
          <cell r="D656">
            <v>10.89</v>
          </cell>
        </row>
        <row r="657">
          <cell r="A657" t="str">
            <v>090741</v>
          </cell>
          <cell r="B657" t="str">
            <v>TUBOS E PECAS, DIAM. 700 MM (B)</v>
          </cell>
          <cell r="C657" t="str">
            <v>M</v>
          </cell>
          <cell r="D657">
            <v>13.91</v>
          </cell>
        </row>
        <row r="658">
          <cell r="A658" t="str">
            <v>090742</v>
          </cell>
          <cell r="B658" t="str">
            <v>TUBOS E PECAS, DIAM. 800 MM (B)</v>
          </cell>
          <cell r="C658" t="str">
            <v>M</v>
          </cell>
          <cell r="D658">
            <v>17.39</v>
          </cell>
        </row>
        <row r="659">
          <cell r="A659" t="str">
            <v>090751</v>
          </cell>
          <cell r="B659" t="str">
            <v>TUBOS E PECAS, DIAM. 50 MM (C)</v>
          </cell>
          <cell r="C659" t="str">
            <v>M</v>
          </cell>
          <cell r="D659">
            <v>0.85</v>
          </cell>
        </row>
        <row r="660">
          <cell r="A660" t="str">
            <v>090752</v>
          </cell>
          <cell r="B660" t="str">
            <v>TUBOS E PECAS, DIAM. 75 MM (C)</v>
          </cell>
          <cell r="C660" t="str">
            <v>M</v>
          </cell>
          <cell r="D660">
            <v>1.17</v>
          </cell>
        </row>
        <row r="661">
          <cell r="A661" t="str">
            <v>090753</v>
          </cell>
          <cell r="B661" t="str">
            <v>TUBOS E PECAS, DIAM. 100 MM (C)</v>
          </cell>
          <cell r="C661" t="str">
            <v>M</v>
          </cell>
          <cell r="D661">
            <v>1.58</v>
          </cell>
        </row>
        <row r="662">
          <cell r="A662" t="str">
            <v>090754</v>
          </cell>
          <cell r="B662" t="str">
            <v>TUBOS E PECAS, DIAM. 150 MM (C)</v>
          </cell>
          <cell r="C662" t="str">
            <v>M</v>
          </cell>
          <cell r="D662">
            <v>2.38</v>
          </cell>
        </row>
        <row r="663">
          <cell r="A663" t="str">
            <v>090755</v>
          </cell>
          <cell r="B663" t="str">
            <v>TUBOS E PECAS, DIAM. 200 MM (C)</v>
          </cell>
          <cell r="C663" t="str">
            <v>M</v>
          </cell>
          <cell r="D663">
            <v>2.62</v>
          </cell>
        </row>
        <row r="664">
          <cell r="A664" t="str">
            <v>090756</v>
          </cell>
          <cell r="B664" t="str">
            <v>TUBOS E PECAS, DIAM. 250 MM (C)</v>
          </cell>
          <cell r="C664" t="str">
            <v>M</v>
          </cell>
          <cell r="D664">
            <v>2.93</v>
          </cell>
        </row>
        <row r="665">
          <cell r="A665" t="str">
            <v>090757</v>
          </cell>
          <cell r="B665" t="str">
            <v>TUBOS E PECAS, DIAM. 300 MM (C)</v>
          </cell>
          <cell r="C665" t="str">
            <v>M</v>
          </cell>
          <cell r="D665">
            <v>3.79</v>
          </cell>
        </row>
        <row r="666">
          <cell r="A666" t="str">
            <v>090758</v>
          </cell>
          <cell r="B666" t="str">
            <v>TUBOS E PECAS, DIAM. 400 MM (C)</v>
          </cell>
          <cell r="C666" t="str">
            <v>M</v>
          </cell>
          <cell r="D666">
            <v>4.6399999999999997</v>
          </cell>
        </row>
        <row r="667">
          <cell r="A667" t="str">
            <v>090759</v>
          </cell>
          <cell r="B667" t="str">
            <v>TUBOS E PECAS, DIAM. 500 MM (C)</v>
          </cell>
          <cell r="C667" t="str">
            <v>M</v>
          </cell>
          <cell r="D667">
            <v>5.59</v>
          </cell>
        </row>
        <row r="668">
          <cell r="A668" t="str">
            <v>090760</v>
          </cell>
          <cell r="B668" t="str">
            <v>TUBOS E PECAS, DIAM. 600 MM (C)</v>
          </cell>
          <cell r="C668" t="str">
            <v>M</v>
          </cell>
          <cell r="D668">
            <v>6.78</v>
          </cell>
        </row>
        <row r="669">
          <cell r="A669" t="str">
            <v>090761</v>
          </cell>
          <cell r="B669" t="str">
            <v>TUBOS E PECAS, DIAM. 700 MM (C)</v>
          </cell>
          <cell r="C669" t="str">
            <v>M</v>
          </cell>
          <cell r="D669">
            <v>8.67</v>
          </cell>
        </row>
        <row r="670">
          <cell r="A670" t="str">
            <v>090762</v>
          </cell>
          <cell r="B670" t="str">
            <v>TUBOS E PECAS, DIAM. 800 MM (C)</v>
          </cell>
          <cell r="C670" t="str">
            <v>M</v>
          </cell>
          <cell r="D670">
            <v>10.85</v>
          </cell>
        </row>
        <row r="672">
          <cell r="A672" t="str">
            <v>090800</v>
          </cell>
          <cell r="B672" t="str">
            <v>MONTAGEM DE PECAS ESPECIAIS</v>
          </cell>
        </row>
        <row r="673">
          <cell r="A673" t="str">
            <v>090801</v>
          </cell>
          <cell r="B673" t="str">
            <v>PECAS ESPECIAIS</v>
          </cell>
          <cell r="C673" t="str">
            <v>KG</v>
          </cell>
          <cell r="D673">
            <v>1.1299999999999999</v>
          </cell>
        </row>
        <row r="675">
          <cell r="A675" t="str">
            <v>090900</v>
          </cell>
          <cell r="B675" t="str">
            <v>ASSENTAMENTO SIMPLES DE TUBOS DE CONCRETO PARA AGUAS PLUVIAIS</v>
          </cell>
        </row>
        <row r="676">
          <cell r="A676" t="str">
            <v>090901</v>
          </cell>
          <cell r="B676" t="str">
            <v>TUBOS, DIAMETRO 300 MM (A)</v>
          </cell>
          <cell r="C676" t="str">
            <v>M</v>
          </cell>
          <cell r="D676">
            <v>3.19</v>
          </cell>
        </row>
        <row r="677">
          <cell r="A677" t="str">
            <v>090902</v>
          </cell>
          <cell r="B677" t="str">
            <v>TUBOS, DIAMETRO 400 MM (A)</v>
          </cell>
          <cell r="C677" t="str">
            <v>M</v>
          </cell>
          <cell r="D677">
            <v>4.09</v>
          </cell>
        </row>
        <row r="678">
          <cell r="A678" t="str">
            <v>090903</v>
          </cell>
          <cell r="B678" t="str">
            <v>TUBOS, DIAMETRO 500 MM (A)</v>
          </cell>
          <cell r="C678" t="str">
            <v>M</v>
          </cell>
          <cell r="D678">
            <v>6.72</v>
          </cell>
        </row>
        <row r="679">
          <cell r="A679" t="str">
            <v>090904</v>
          </cell>
          <cell r="B679" t="str">
            <v>TUBOS, DIAMETRO 600 MM (A)</v>
          </cell>
          <cell r="C679" t="str">
            <v>M</v>
          </cell>
          <cell r="D679">
            <v>7.96</v>
          </cell>
        </row>
        <row r="680">
          <cell r="A680" t="str">
            <v>090905</v>
          </cell>
          <cell r="B680" t="str">
            <v>TUBOS, DIAMETRO 700 MM (A)</v>
          </cell>
          <cell r="C680" t="str">
            <v>M</v>
          </cell>
          <cell r="D680">
            <v>11.55</v>
          </cell>
        </row>
        <row r="681">
          <cell r="A681" t="str">
            <v>090906</v>
          </cell>
          <cell r="B681" t="str">
            <v>TUBOS, DIAMETRO 800 MM (A)</v>
          </cell>
          <cell r="C681" t="str">
            <v>M</v>
          </cell>
          <cell r="D681">
            <v>13.81</v>
          </cell>
        </row>
        <row r="682">
          <cell r="A682" t="str">
            <v>090907</v>
          </cell>
          <cell r="B682" t="str">
            <v>TUBOS, DIAMETRO 900 MM (A)</v>
          </cell>
          <cell r="C682" t="str">
            <v>M</v>
          </cell>
          <cell r="D682">
            <v>18.73</v>
          </cell>
        </row>
        <row r="683">
          <cell r="A683" t="str">
            <v>090908</v>
          </cell>
          <cell r="B683" t="str">
            <v>TUBOS, DIAMETRO 1000 MM (A)</v>
          </cell>
          <cell r="C683" t="str">
            <v>M</v>
          </cell>
          <cell r="D683">
            <v>22.35</v>
          </cell>
        </row>
        <row r="684">
          <cell r="A684" t="str">
            <v>090909</v>
          </cell>
          <cell r="B684" t="str">
            <v>TUBOS, DIAMETRO 1100 MM (A)</v>
          </cell>
          <cell r="C684" t="str">
            <v>M</v>
          </cell>
          <cell r="D684">
            <v>24.39</v>
          </cell>
        </row>
        <row r="685">
          <cell r="A685" t="str">
            <v>090910</v>
          </cell>
          <cell r="B685" t="str">
            <v>TUBOS, DIAMETRO 1200 MM (A)</v>
          </cell>
          <cell r="C685" t="str">
            <v>M</v>
          </cell>
          <cell r="D685">
            <v>33.43</v>
          </cell>
        </row>
        <row r="686">
          <cell r="A686" t="str">
            <v>090911</v>
          </cell>
          <cell r="B686" t="str">
            <v>TUBOS, DIAMETRO 1500 MM (A)</v>
          </cell>
          <cell r="C686" t="str">
            <v>M</v>
          </cell>
          <cell r="D686">
            <v>50.97</v>
          </cell>
        </row>
        <row r="687">
          <cell r="A687" t="str">
            <v>090912</v>
          </cell>
          <cell r="B687" t="str">
            <v>TUBOS, DIAMETRO 2000 MM (A)</v>
          </cell>
          <cell r="C687" t="str">
            <v>M</v>
          </cell>
          <cell r="D687">
            <v>89.93</v>
          </cell>
        </row>
        <row r="688">
          <cell r="A688" t="str">
            <v>090931</v>
          </cell>
          <cell r="B688" t="str">
            <v>TUBOS, DIAM. 300 MM (B)</v>
          </cell>
          <cell r="C688" t="str">
            <v>M</v>
          </cell>
          <cell r="D688">
            <v>2.63</v>
          </cell>
        </row>
        <row r="689">
          <cell r="A689" t="str">
            <v>090932</v>
          </cell>
          <cell r="B689" t="str">
            <v>TUBOS, DIAM. 400 MM (B)</v>
          </cell>
          <cell r="C689" t="str">
            <v>M</v>
          </cell>
          <cell r="D689">
            <v>3.41</v>
          </cell>
        </row>
        <row r="690">
          <cell r="A690" t="str">
            <v>090933</v>
          </cell>
          <cell r="B690" t="str">
            <v>TUBOS, DIAM. 500 MM (B)</v>
          </cell>
          <cell r="C690" t="str">
            <v>M</v>
          </cell>
          <cell r="D690">
            <v>5.65</v>
          </cell>
        </row>
        <row r="691">
          <cell r="A691" t="str">
            <v>090934</v>
          </cell>
          <cell r="B691" t="str">
            <v>TUBOS, DIAM. 600 MM (B)</v>
          </cell>
          <cell r="C691" t="str">
            <v>M</v>
          </cell>
          <cell r="D691">
            <v>6.65</v>
          </cell>
        </row>
        <row r="692">
          <cell r="A692" t="str">
            <v>090935</v>
          </cell>
          <cell r="B692" t="str">
            <v>TUBOS, DIAM. 700 MM (B)</v>
          </cell>
          <cell r="C692" t="str">
            <v>M</v>
          </cell>
          <cell r="D692">
            <v>9.8800000000000008</v>
          </cell>
        </row>
        <row r="693">
          <cell r="A693" t="str">
            <v>090936</v>
          </cell>
          <cell r="B693" t="str">
            <v>TUBOS, DIAM. 800 MM (B)</v>
          </cell>
          <cell r="C693" t="str">
            <v>M</v>
          </cell>
          <cell r="D693">
            <v>11.75</v>
          </cell>
        </row>
        <row r="694">
          <cell r="A694" t="str">
            <v>090937</v>
          </cell>
          <cell r="B694" t="str">
            <v>TUBOS, DIAM. 900 MM (B)</v>
          </cell>
          <cell r="C694" t="str">
            <v>M</v>
          </cell>
          <cell r="D694">
            <v>15.93</v>
          </cell>
        </row>
        <row r="695">
          <cell r="A695" t="str">
            <v>090938</v>
          </cell>
          <cell r="B695" t="str">
            <v>TUBOS, DIAM. 1000 MM (B)</v>
          </cell>
          <cell r="C695" t="str">
            <v>M</v>
          </cell>
          <cell r="D695">
            <v>18.989999999999998</v>
          </cell>
        </row>
        <row r="696">
          <cell r="A696" t="str">
            <v>090939</v>
          </cell>
          <cell r="B696" t="str">
            <v>TUBOS, DIAM. 1100 MM (B)</v>
          </cell>
          <cell r="C696" t="str">
            <v>M</v>
          </cell>
          <cell r="D696">
            <v>20.7</v>
          </cell>
        </row>
        <row r="697">
          <cell r="A697" t="str">
            <v>090940</v>
          </cell>
          <cell r="B697" t="str">
            <v>TUBOS, DIAM. 1200 MM (B)</v>
          </cell>
          <cell r="C697" t="str">
            <v>M</v>
          </cell>
          <cell r="D697">
            <v>28.42</v>
          </cell>
        </row>
        <row r="698">
          <cell r="A698" t="str">
            <v>090941</v>
          </cell>
          <cell r="B698" t="str">
            <v>TUBOS, DIAM. 1500 MM (B)</v>
          </cell>
          <cell r="C698" t="str">
            <v>M</v>
          </cell>
          <cell r="D698">
            <v>43.07</v>
          </cell>
        </row>
        <row r="699">
          <cell r="A699" t="str">
            <v>090942</v>
          </cell>
          <cell r="B699" t="str">
            <v>TUBOS, DIAM. 2000 MM (B)</v>
          </cell>
          <cell r="C699" t="str">
            <v>M</v>
          </cell>
          <cell r="D699">
            <v>77.08</v>
          </cell>
        </row>
        <row r="700">
          <cell r="A700" t="str">
            <v>090951</v>
          </cell>
          <cell r="B700" t="str">
            <v>TUBOS, DIAM. 300 MM (C)</v>
          </cell>
          <cell r="C700" t="str">
            <v>M</v>
          </cell>
          <cell r="D700">
            <v>1.83</v>
          </cell>
        </row>
        <row r="701">
          <cell r="A701" t="str">
            <v>090952</v>
          </cell>
          <cell r="B701" t="str">
            <v>TUBOS, DIAM. 400 MM (C)</v>
          </cell>
          <cell r="C701" t="str">
            <v>M</v>
          </cell>
          <cell r="D701">
            <v>2.4700000000000002</v>
          </cell>
        </row>
        <row r="702">
          <cell r="A702" t="str">
            <v>090953</v>
          </cell>
          <cell r="B702" t="str">
            <v>TUBOS, DIAM. 500 MM (C)</v>
          </cell>
          <cell r="C702" t="str">
            <v>M</v>
          </cell>
          <cell r="D702">
            <v>4.01</v>
          </cell>
        </row>
        <row r="703">
          <cell r="A703" t="str">
            <v>090954</v>
          </cell>
          <cell r="B703" t="str">
            <v>TUBOS, DIAM. 600 MM (C)</v>
          </cell>
          <cell r="C703" t="str">
            <v>M</v>
          </cell>
          <cell r="D703">
            <v>4.6500000000000004</v>
          </cell>
        </row>
        <row r="704">
          <cell r="A704" t="str">
            <v>090955</v>
          </cell>
          <cell r="B704" t="str">
            <v>TUBOS, DIAM. 700 MM (C)</v>
          </cell>
          <cell r="C704" t="str">
            <v>M</v>
          </cell>
          <cell r="D704">
            <v>7.36</v>
          </cell>
        </row>
        <row r="705">
          <cell r="A705" t="str">
            <v>090956</v>
          </cell>
          <cell r="B705" t="str">
            <v>TUBOS, DIAM. 800 MM (C)</v>
          </cell>
          <cell r="C705" t="str">
            <v>M</v>
          </cell>
          <cell r="D705">
            <v>8.6300000000000008</v>
          </cell>
        </row>
        <row r="706">
          <cell r="A706" t="str">
            <v>090957</v>
          </cell>
          <cell r="B706" t="str">
            <v>TUBOS, DIAM. 900 MM (C)</v>
          </cell>
          <cell r="C706" t="str">
            <v>M</v>
          </cell>
          <cell r="D706">
            <v>11.81</v>
          </cell>
        </row>
        <row r="707">
          <cell r="A707" t="str">
            <v>090958</v>
          </cell>
          <cell r="B707" t="str">
            <v>TUBOS, DIAM.1000 MM (C)</v>
          </cell>
          <cell r="C707" t="str">
            <v>M</v>
          </cell>
          <cell r="D707">
            <v>13.96</v>
          </cell>
        </row>
        <row r="708">
          <cell r="A708" t="str">
            <v>090959</v>
          </cell>
          <cell r="B708" t="str">
            <v>TUBOS, DIAM. 1100 MM (C)</v>
          </cell>
          <cell r="C708" t="str">
            <v>M</v>
          </cell>
          <cell r="D708">
            <v>15.18</v>
          </cell>
        </row>
        <row r="709">
          <cell r="A709" t="str">
            <v>090960</v>
          </cell>
          <cell r="B709" t="str">
            <v>TUBOS, DIAM. 1200 MM (C)</v>
          </cell>
          <cell r="C709" t="str">
            <v>M</v>
          </cell>
          <cell r="D709">
            <v>20.85</v>
          </cell>
        </row>
        <row r="710">
          <cell r="A710" t="str">
            <v>090961</v>
          </cell>
          <cell r="B710" t="str">
            <v>TUBOS, DIAM. 1500 MM (C)</v>
          </cell>
          <cell r="C710" t="str">
            <v>M</v>
          </cell>
          <cell r="D710">
            <v>31.24</v>
          </cell>
        </row>
        <row r="711">
          <cell r="A711" t="str">
            <v>090962</v>
          </cell>
          <cell r="B711" t="str">
            <v>TUBOS, DIAM. 2000 MM (C)</v>
          </cell>
          <cell r="C711" t="str">
            <v>M</v>
          </cell>
          <cell r="D711">
            <v>57.84</v>
          </cell>
        </row>
        <row r="713">
          <cell r="A713" t="str">
            <v>091000</v>
          </cell>
          <cell r="B713" t="str">
            <v>ASSENTAMENTO SIMPLES DE TUBOS DE CONCRETO PARA ESGOTOS SANITARIOS</v>
          </cell>
        </row>
        <row r="714">
          <cell r="A714" t="str">
            <v>091001</v>
          </cell>
          <cell r="B714" t="str">
            <v>TUBOS, DIAMETRO   400 MM (A)</v>
          </cell>
          <cell r="C714" t="str">
            <v>M</v>
          </cell>
          <cell r="D714">
            <v>6.01</v>
          </cell>
        </row>
        <row r="715">
          <cell r="A715" t="str">
            <v>091002</v>
          </cell>
          <cell r="B715" t="str">
            <v>TUBOS, DIAMETRO   500 MM (A)</v>
          </cell>
          <cell r="C715" t="str">
            <v>M</v>
          </cell>
          <cell r="D715">
            <v>8.84</v>
          </cell>
        </row>
        <row r="716">
          <cell r="A716" t="str">
            <v>091003</v>
          </cell>
          <cell r="B716" t="str">
            <v>TUBOS, DIAMETRO   600 MM (A)</v>
          </cell>
          <cell r="C716" t="str">
            <v>M</v>
          </cell>
          <cell r="D716">
            <v>10.54</v>
          </cell>
        </row>
        <row r="717">
          <cell r="A717" t="str">
            <v>091004</v>
          </cell>
          <cell r="B717" t="str">
            <v>TUBOS, DIAMETRO   700 MM (A)</v>
          </cell>
          <cell r="C717" t="str">
            <v>M</v>
          </cell>
          <cell r="D717">
            <v>12.47</v>
          </cell>
        </row>
        <row r="718">
          <cell r="A718" t="str">
            <v>091005</v>
          </cell>
          <cell r="B718" t="str">
            <v>TUBOS, DIAMETRO   800 MM (A)</v>
          </cell>
          <cell r="C718" t="str">
            <v>M</v>
          </cell>
          <cell r="D718">
            <v>15.48</v>
          </cell>
        </row>
        <row r="719">
          <cell r="A719" t="str">
            <v>091006</v>
          </cell>
          <cell r="B719" t="str">
            <v>TUBOS, DIAMETRO   900 MM (A)</v>
          </cell>
          <cell r="C719" t="str">
            <v>M</v>
          </cell>
          <cell r="D719">
            <v>19.690000000000001</v>
          </cell>
        </row>
        <row r="720">
          <cell r="A720" t="str">
            <v>091007</v>
          </cell>
          <cell r="B720" t="str">
            <v>TUBOS, DIAMETRO 1.000 MM (A)</v>
          </cell>
          <cell r="C720" t="str">
            <v>M</v>
          </cell>
          <cell r="D720">
            <v>24.43</v>
          </cell>
        </row>
        <row r="721">
          <cell r="A721" t="str">
            <v>091008</v>
          </cell>
          <cell r="B721" t="str">
            <v>TUBOS, DIAMETRO 1.100 MM (A)</v>
          </cell>
          <cell r="C721" t="str">
            <v>M</v>
          </cell>
          <cell r="D721">
            <v>32.590000000000003</v>
          </cell>
        </row>
        <row r="722">
          <cell r="A722" t="str">
            <v>091009</v>
          </cell>
          <cell r="B722" t="str">
            <v>TUBOS, DIAMETRO 1.200 MM (A)</v>
          </cell>
          <cell r="C722" t="str">
            <v>M</v>
          </cell>
          <cell r="D722">
            <v>46.51</v>
          </cell>
        </row>
        <row r="723">
          <cell r="A723" t="str">
            <v>091010</v>
          </cell>
          <cell r="B723" t="str">
            <v>TUBOS, DIAMETRO 1.500 MM (A)</v>
          </cell>
          <cell r="C723" t="str">
            <v>M</v>
          </cell>
          <cell r="D723">
            <v>64.73</v>
          </cell>
        </row>
        <row r="724">
          <cell r="A724" t="str">
            <v>091011</v>
          </cell>
          <cell r="B724" t="str">
            <v>TUBOS, DIAMETRO 2.000 MM (A)</v>
          </cell>
          <cell r="C724" t="str">
            <v>M</v>
          </cell>
          <cell r="D724">
            <v>95.87</v>
          </cell>
        </row>
        <row r="725">
          <cell r="A725" t="str">
            <v>091031</v>
          </cell>
          <cell r="B725" t="str">
            <v>TUBOS, DIAM. 400 MM (B)</v>
          </cell>
          <cell r="C725" t="str">
            <v>M</v>
          </cell>
          <cell r="D725">
            <v>4.82</v>
          </cell>
        </row>
        <row r="726">
          <cell r="A726" t="str">
            <v>091032</v>
          </cell>
          <cell r="B726" t="str">
            <v>TUBOS, DIAM. 500 MM (B)</v>
          </cell>
          <cell r="C726" t="str">
            <v>M</v>
          </cell>
          <cell r="D726">
            <v>7.07</v>
          </cell>
        </row>
        <row r="727">
          <cell r="A727" t="str">
            <v>091033</v>
          </cell>
          <cell r="B727" t="str">
            <v>TUBOS, DIAM. 600 MM (B)</v>
          </cell>
          <cell r="C727" t="str">
            <v>M</v>
          </cell>
          <cell r="D727">
            <v>8.43</v>
          </cell>
        </row>
        <row r="728">
          <cell r="A728" t="str">
            <v>091034</v>
          </cell>
          <cell r="B728" t="str">
            <v>TUBOS, DIAM. 700 MM (B)</v>
          </cell>
          <cell r="C728" t="str">
            <v>M</v>
          </cell>
          <cell r="D728">
            <v>9.9700000000000006</v>
          </cell>
        </row>
        <row r="729">
          <cell r="A729" t="str">
            <v>091035</v>
          </cell>
          <cell r="B729" t="str">
            <v>TUBOS, DIAM. 800 MM (B)</v>
          </cell>
          <cell r="C729" t="str">
            <v>M</v>
          </cell>
          <cell r="D729">
            <v>12.39</v>
          </cell>
        </row>
        <row r="730">
          <cell r="A730" t="str">
            <v>091036</v>
          </cell>
          <cell r="B730" t="str">
            <v>TUBOS, DIAM. 900 MM (B)</v>
          </cell>
          <cell r="C730" t="str">
            <v>M</v>
          </cell>
          <cell r="D730">
            <v>15.76</v>
          </cell>
        </row>
        <row r="731">
          <cell r="A731" t="str">
            <v>091037</v>
          </cell>
          <cell r="B731" t="str">
            <v>TUBOS, DIAM. 1000 MM (B)</v>
          </cell>
          <cell r="C731" t="str">
            <v>M</v>
          </cell>
          <cell r="D731">
            <v>19.53</v>
          </cell>
        </row>
        <row r="732">
          <cell r="A732" t="str">
            <v>091038</v>
          </cell>
          <cell r="B732" t="str">
            <v>TUBOS, DIAM. 1100 MM (B)</v>
          </cell>
          <cell r="C732" t="str">
            <v>M</v>
          </cell>
          <cell r="D732">
            <v>26.06</v>
          </cell>
        </row>
        <row r="733">
          <cell r="A733" t="str">
            <v>091039</v>
          </cell>
          <cell r="B733" t="str">
            <v>TUBOS, DIAM. 1200 MM (B)</v>
          </cell>
          <cell r="C733" t="str">
            <v>M</v>
          </cell>
          <cell r="D733">
            <v>37.17</v>
          </cell>
        </row>
        <row r="734">
          <cell r="A734" t="str">
            <v>091040</v>
          </cell>
          <cell r="B734" t="str">
            <v>TUBOS, DIAM. 1500 MM (B)</v>
          </cell>
          <cell r="C734" t="str">
            <v>M</v>
          </cell>
          <cell r="D734">
            <v>51.76</v>
          </cell>
        </row>
        <row r="735">
          <cell r="A735" t="str">
            <v>091041</v>
          </cell>
          <cell r="B735" t="str">
            <v>TUBOS, DIAM. 2000 MM (B)</v>
          </cell>
          <cell r="C735" t="str">
            <v>M</v>
          </cell>
          <cell r="D735">
            <v>76.680000000000007</v>
          </cell>
        </row>
        <row r="736">
          <cell r="A736" t="str">
            <v>091051</v>
          </cell>
          <cell r="B736" t="str">
            <v>TUBOS, DIAM. 400 MM (C)</v>
          </cell>
          <cell r="C736" t="str">
            <v>M</v>
          </cell>
          <cell r="D736">
            <v>2.99</v>
          </cell>
        </row>
        <row r="737">
          <cell r="A737" t="str">
            <v>091052</v>
          </cell>
          <cell r="B737" t="str">
            <v>TUBOS, DIAM. 500 MM (C)</v>
          </cell>
          <cell r="C737" t="str">
            <v>M</v>
          </cell>
          <cell r="D737">
            <v>4.41</v>
          </cell>
        </row>
        <row r="738">
          <cell r="A738" t="str">
            <v>091053</v>
          </cell>
          <cell r="B738" t="str">
            <v>TUBOS, DIAM. 600 MM (C)</v>
          </cell>
          <cell r="C738" t="str">
            <v>M</v>
          </cell>
          <cell r="D738">
            <v>5.26</v>
          </cell>
        </row>
        <row r="739">
          <cell r="A739" t="str">
            <v>091054</v>
          </cell>
          <cell r="B739" t="str">
            <v>TUBOS, DIAM. 700 MM (C)</v>
          </cell>
          <cell r="C739" t="str">
            <v>M</v>
          </cell>
          <cell r="D739">
            <v>6.21</v>
          </cell>
        </row>
        <row r="740">
          <cell r="A740" t="str">
            <v>091055</v>
          </cell>
          <cell r="B740" t="str">
            <v>TUBOS, DIAM. 800 MM (C)</v>
          </cell>
          <cell r="C740" t="str">
            <v>M</v>
          </cell>
          <cell r="D740">
            <v>7.72</v>
          </cell>
        </row>
        <row r="741">
          <cell r="A741" t="str">
            <v>091056</v>
          </cell>
          <cell r="B741" t="str">
            <v>TUBOS, DIAM. 900 MM (C)</v>
          </cell>
          <cell r="C741" t="str">
            <v>M</v>
          </cell>
          <cell r="D741">
            <v>9.84</v>
          </cell>
        </row>
        <row r="742">
          <cell r="A742" t="str">
            <v>091057</v>
          </cell>
          <cell r="B742" t="str">
            <v>TUBOS, DIAM. 1000 MM (C)</v>
          </cell>
          <cell r="C742" t="str">
            <v>M</v>
          </cell>
          <cell r="D742">
            <v>12.2</v>
          </cell>
        </row>
        <row r="743">
          <cell r="A743" t="str">
            <v>091058</v>
          </cell>
          <cell r="B743" t="str">
            <v>TUBOS, DIAM. 1100 MM (C)</v>
          </cell>
          <cell r="C743" t="str">
            <v>M</v>
          </cell>
          <cell r="D743">
            <v>16.29</v>
          </cell>
        </row>
        <row r="744">
          <cell r="A744" t="str">
            <v>091059</v>
          </cell>
          <cell r="B744" t="str">
            <v>TUBOS, DIAM. 1200 MM (C)</v>
          </cell>
          <cell r="C744" t="str">
            <v>M</v>
          </cell>
          <cell r="D744">
            <v>23.24</v>
          </cell>
        </row>
        <row r="745">
          <cell r="A745" t="str">
            <v>091060</v>
          </cell>
          <cell r="B745" t="str">
            <v>TUBOS, DIAM. 1500 MM (C)</v>
          </cell>
          <cell r="C745" t="str">
            <v>M</v>
          </cell>
          <cell r="D745">
            <v>32.35</v>
          </cell>
        </row>
        <row r="746">
          <cell r="A746" t="str">
            <v>091061</v>
          </cell>
          <cell r="B746" t="str">
            <v>TUBOS, DIAM. 2000 MM (C)</v>
          </cell>
          <cell r="C746" t="str">
            <v>M</v>
          </cell>
          <cell r="D746">
            <v>47.93</v>
          </cell>
        </row>
        <row r="748">
          <cell r="A748" t="str">
            <v>091100</v>
          </cell>
          <cell r="B748" t="str">
            <v>ASSENTAMENTO DE TUBOS E PECAS DE ACO ( INCLUINDO SOLDAGEM DAS JUNTAS )</v>
          </cell>
        </row>
        <row r="749">
          <cell r="A749" t="str">
            <v>091101</v>
          </cell>
          <cell r="B749" t="str">
            <v>TUBOS E PECAS,DIAMETRO 28 POL (A)</v>
          </cell>
          <cell r="C749" t="str">
            <v>M</v>
          </cell>
          <cell r="D749">
            <v>75.62</v>
          </cell>
        </row>
        <row r="750">
          <cell r="A750" t="str">
            <v>091102</v>
          </cell>
          <cell r="B750" t="str">
            <v>TUBOS E PECAS,DIAMETRO 30 POL (A)</v>
          </cell>
          <cell r="C750" t="str">
            <v>M</v>
          </cell>
          <cell r="D750">
            <v>78.489999999999995</v>
          </cell>
        </row>
        <row r="751">
          <cell r="A751" t="str">
            <v>091103</v>
          </cell>
          <cell r="B751" t="str">
            <v>TUBOS E PECAS,DIAMETRO 32 POL (A)</v>
          </cell>
          <cell r="C751" t="str">
            <v>M</v>
          </cell>
          <cell r="D751">
            <v>81.39</v>
          </cell>
        </row>
        <row r="752">
          <cell r="A752" t="str">
            <v>091104</v>
          </cell>
          <cell r="B752" t="str">
            <v>TUBOS E PECAS DIAMETRO 36 POL (A)</v>
          </cell>
          <cell r="C752" t="str">
            <v>M</v>
          </cell>
          <cell r="D752">
            <v>87.28</v>
          </cell>
        </row>
        <row r="753">
          <cell r="A753" t="str">
            <v>091105</v>
          </cell>
          <cell r="B753" t="str">
            <v>TUBOS E PECAS,DIAMETRO 40 POL (A)</v>
          </cell>
          <cell r="C753" t="str">
            <v>M</v>
          </cell>
          <cell r="D753">
            <v>93.44</v>
          </cell>
        </row>
        <row r="754">
          <cell r="A754" t="str">
            <v>091106</v>
          </cell>
          <cell r="B754" t="str">
            <v>TUBOS E PECAS,DIAMETRO 42 POL (A)</v>
          </cell>
          <cell r="C754" t="str">
            <v>M</v>
          </cell>
          <cell r="D754">
            <v>122.24</v>
          </cell>
        </row>
        <row r="755">
          <cell r="A755" t="str">
            <v>091107</v>
          </cell>
          <cell r="B755" t="str">
            <v>TUBOS E PECAS,DIAMETRO 48 POL (A)</v>
          </cell>
          <cell r="C755" t="str">
            <v>M</v>
          </cell>
          <cell r="D755">
            <v>135.36000000000001</v>
          </cell>
        </row>
        <row r="756">
          <cell r="A756" t="str">
            <v>091108</v>
          </cell>
          <cell r="B756" t="str">
            <v>TUBOS E PECAS,DIAMETRO 60 POL (A)</v>
          </cell>
          <cell r="C756" t="str">
            <v>M</v>
          </cell>
          <cell r="D756">
            <v>173.64</v>
          </cell>
        </row>
        <row r="757">
          <cell r="A757" t="str">
            <v>091109</v>
          </cell>
          <cell r="B757" t="str">
            <v>TUBOS E PECAS,DIAMETRO 72 POL (A)</v>
          </cell>
          <cell r="C757" t="str">
            <v>M</v>
          </cell>
          <cell r="D757">
            <v>212.38</v>
          </cell>
        </row>
        <row r="758">
          <cell r="A758" t="str">
            <v>091110</v>
          </cell>
          <cell r="B758" t="str">
            <v>TUBOS E PACAS,DIAMETRO 84 POL (A)</v>
          </cell>
          <cell r="C758" t="str">
            <v>M</v>
          </cell>
          <cell r="D758">
            <v>283.17</v>
          </cell>
        </row>
        <row r="759">
          <cell r="A759" t="str">
            <v>091111</v>
          </cell>
          <cell r="B759" t="str">
            <v>TUBOS E PECAS,DIAMETRO 100 POL (A)</v>
          </cell>
          <cell r="C759" t="str">
            <v>M</v>
          </cell>
          <cell r="D759">
            <v>431.49</v>
          </cell>
        </row>
        <row r="760">
          <cell r="A760" t="str">
            <v>091131</v>
          </cell>
          <cell r="B760" t="str">
            <v>TUBOS E PECAS, DIAM. 28 POL (B)</v>
          </cell>
          <cell r="C760" t="str">
            <v>M</v>
          </cell>
          <cell r="D760">
            <v>61.1</v>
          </cell>
        </row>
        <row r="761">
          <cell r="A761" t="str">
            <v>091132</v>
          </cell>
          <cell r="B761" t="str">
            <v>TUBOS E PECAS, DIAM. 30 POL (B)</v>
          </cell>
          <cell r="C761" t="str">
            <v>M</v>
          </cell>
          <cell r="D761">
            <v>63.45</v>
          </cell>
        </row>
        <row r="762">
          <cell r="A762" t="str">
            <v>091133</v>
          </cell>
          <cell r="B762" t="str">
            <v>TUBOS E PECAS, DIAM. 32 POL (B)</v>
          </cell>
          <cell r="C762" t="str">
            <v>M</v>
          </cell>
          <cell r="D762">
            <v>65.78</v>
          </cell>
        </row>
        <row r="763">
          <cell r="A763" t="str">
            <v>091134</v>
          </cell>
          <cell r="B763" t="str">
            <v>TUBOS E PECAS, DIAM. 36 POL (B)</v>
          </cell>
          <cell r="C763" t="str">
            <v>M</v>
          </cell>
          <cell r="D763">
            <v>70.59</v>
          </cell>
        </row>
        <row r="764">
          <cell r="A764" t="str">
            <v>091135</v>
          </cell>
          <cell r="B764" t="str">
            <v>TUBOS E PECAS, 40 POL (B)</v>
          </cell>
          <cell r="C764" t="str">
            <v>M</v>
          </cell>
          <cell r="D764">
            <v>75.66</v>
          </cell>
        </row>
        <row r="765">
          <cell r="A765" t="str">
            <v>091136</v>
          </cell>
          <cell r="B765" t="str">
            <v>TUBOS E PECAS, DIAM. 42 POL (B)</v>
          </cell>
          <cell r="C765" t="str">
            <v>M</v>
          </cell>
          <cell r="D765">
            <v>99.21</v>
          </cell>
        </row>
        <row r="766">
          <cell r="A766" t="str">
            <v>091137</v>
          </cell>
          <cell r="B766" t="str">
            <v>TUBOS E PECAS, DIAM. 48 POL (B)</v>
          </cell>
          <cell r="C766" t="str">
            <v>M</v>
          </cell>
          <cell r="D766">
            <v>109.92</v>
          </cell>
        </row>
        <row r="767">
          <cell r="A767" t="str">
            <v>091138</v>
          </cell>
          <cell r="B767" t="str">
            <v>TUBOS E PECAS, DIAM. 60 POL (B)</v>
          </cell>
          <cell r="C767" t="str">
            <v>M</v>
          </cell>
          <cell r="D767">
            <v>140.97999999999999</v>
          </cell>
        </row>
        <row r="768">
          <cell r="A768" t="str">
            <v>091139</v>
          </cell>
          <cell r="B768" t="str">
            <v>TUBOS E PECAS, DIAM. 72 POL (B)</v>
          </cell>
          <cell r="C768" t="str">
            <v>M</v>
          </cell>
          <cell r="D768">
            <v>172.39</v>
          </cell>
        </row>
        <row r="769">
          <cell r="A769" t="str">
            <v>091140</v>
          </cell>
          <cell r="B769" t="str">
            <v>TUBOS E PECAS, DIAM. 84 POL (B)</v>
          </cell>
          <cell r="C769" t="str">
            <v>M</v>
          </cell>
          <cell r="D769">
            <v>230.07</v>
          </cell>
        </row>
        <row r="770">
          <cell r="A770" t="str">
            <v>091141</v>
          </cell>
          <cell r="B770" t="str">
            <v>TUBOS E PECAS, DIAM. 100 POL (B)</v>
          </cell>
          <cell r="C770" t="str">
            <v>M</v>
          </cell>
          <cell r="D770">
            <v>349.68</v>
          </cell>
        </row>
        <row r="771">
          <cell r="A771" t="str">
            <v>091151</v>
          </cell>
          <cell r="B771" t="str">
            <v>TUBOS E PECAS, DIAM. 28 POL (C)</v>
          </cell>
          <cell r="C771" t="str">
            <v>M</v>
          </cell>
          <cell r="D771">
            <v>39.35</v>
          </cell>
        </row>
        <row r="772">
          <cell r="A772" t="str">
            <v>091152</v>
          </cell>
          <cell r="B772" t="str">
            <v>TUBOS E PECAS, DIAM. 30 POL (C)</v>
          </cell>
          <cell r="C772" t="str">
            <v>M</v>
          </cell>
          <cell r="D772">
            <v>40.92</v>
          </cell>
        </row>
        <row r="773">
          <cell r="A773" t="str">
            <v>091153</v>
          </cell>
          <cell r="B773" t="str">
            <v>TUBOS E PECAS, DIAM. 32 POL (C)</v>
          </cell>
          <cell r="C773" t="str">
            <v>M</v>
          </cell>
          <cell r="D773">
            <v>42.48</v>
          </cell>
        </row>
        <row r="774">
          <cell r="A774" t="str">
            <v>091154</v>
          </cell>
          <cell r="B774" t="str">
            <v>TUBOS E PECAS, DIAM. 36 POL (C)</v>
          </cell>
          <cell r="C774" t="str">
            <v>M</v>
          </cell>
          <cell r="D774">
            <v>45.64</v>
          </cell>
        </row>
        <row r="775">
          <cell r="A775" t="str">
            <v>091155</v>
          </cell>
          <cell r="B775" t="str">
            <v>TUBOS E PECAS, DIAM. 40 POL (C)</v>
          </cell>
          <cell r="C775" t="str">
            <v>M</v>
          </cell>
          <cell r="D775">
            <v>48.97</v>
          </cell>
        </row>
        <row r="776">
          <cell r="A776" t="str">
            <v>091156</v>
          </cell>
          <cell r="B776" t="str">
            <v>TUBOS E PECAS, DIAM. 42 POL (C)</v>
          </cell>
          <cell r="C776" t="str">
            <v>M</v>
          </cell>
          <cell r="D776">
            <v>64.53</v>
          </cell>
        </row>
        <row r="777">
          <cell r="A777" t="str">
            <v>091157</v>
          </cell>
          <cell r="B777" t="str">
            <v>TUBOS E PECAS, DIAM. 48 POL (C)</v>
          </cell>
          <cell r="C777" t="str">
            <v>M</v>
          </cell>
          <cell r="D777">
            <v>71.55</v>
          </cell>
        </row>
        <row r="778">
          <cell r="A778" t="str">
            <v>091158</v>
          </cell>
          <cell r="B778" t="str">
            <v>TUBOS E PECAS, DIAM. 60 POL (C)</v>
          </cell>
          <cell r="C778" t="str">
            <v>M</v>
          </cell>
          <cell r="D778">
            <v>91.66</v>
          </cell>
        </row>
        <row r="779">
          <cell r="A779" t="str">
            <v>091159</v>
          </cell>
          <cell r="B779" t="str">
            <v>TUBOS E PECAS, DIAM. 72 POL (C)</v>
          </cell>
          <cell r="C779" t="str">
            <v>M</v>
          </cell>
          <cell r="D779">
            <v>112.03</v>
          </cell>
        </row>
        <row r="780">
          <cell r="A780" t="str">
            <v>091160</v>
          </cell>
          <cell r="B780" t="str">
            <v>TUBOS E PECAS, DIAM. 84 POL (C)</v>
          </cell>
          <cell r="C780" t="str">
            <v>M</v>
          </cell>
          <cell r="D780">
            <v>149.5</v>
          </cell>
        </row>
        <row r="781">
          <cell r="A781" t="str">
            <v>091161</v>
          </cell>
          <cell r="B781" t="str">
            <v>TUBOS E PECAS, DIAM. 100 POL (C)</v>
          </cell>
          <cell r="C781" t="str">
            <v>M</v>
          </cell>
          <cell r="D781">
            <v>227.09</v>
          </cell>
        </row>
        <row r="783">
          <cell r="A783" t="str">
            <v>091300</v>
          </cell>
          <cell r="B783" t="str">
            <v>ANEIS DE MASTIQUE BETUMINOSO - TUBULACOES DE ACO</v>
          </cell>
        </row>
        <row r="784">
          <cell r="A784" t="str">
            <v>091301</v>
          </cell>
          <cell r="B784" t="str">
            <v>ANEL DE MASTIQUE BETUMINOSO,DIAMETRO 28 POL</v>
          </cell>
          <cell r="C784" t="str">
            <v>UN</v>
          </cell>
          <cell r="D784">
            <v>27.78</v>
          </cell>
        </row>
        <row r="785">
          <cell r="A785" t="str">
            <v>091302</v>
          </cell>
          <cell r="B785" t="str">
            <v>ANEL DE MASTIQUE BETUMINOSO,DIAMETRO 30 POL</v>
          </cell>
          <cell r="C785" t="str">
            <v>UN</v>
          </cell>
          <cell r="D785">
            <v>29.81</v>
          </cell>
        </row>
        <row r="786">
          <cell r="A786" t="str">
            <v>091303</v>
          </cell>
          <cell r="B786" t="str">
            <v>ANEL DE MASTIQUE BETUMINOSO,DIAMETRO 32 POL</v>
          </cell>
          <cell r="C786" t="str">
            <v>UN</v>
          </cell>
          <cell r="D786">
            <v>31.85</v>
          </cell>
        </row>
        <row r="787">
          <cell r="A787" t="str">
            <v>091304</v>
          </cell>
          <cell r="B787" t="str">
            <v>ANEL DE MASTIQUE BETUMINOSO,DIAMETRO 36 POL</v>
          </cell>
          <cell r="C787" t="str">
            <v>UN</v>
          </cell>
          <cell r="D787">
            <v>35.71</v>
          </cell>
        </row>
        <row r="788">
          <cell r="A788" t="str">
            <v>091305</v>
          </cell>
          <cell r="B788" t="str">
            <v>ANEL DE MASTIQUE BETUMINOSO,DIAMETRO 40 POL</v>
          </cell>
          <cell r="C788" t="str">
            <v>UN</v>
          </cell>
          <cell r="D788">
            <v>39.6</v>
          </cell>
        </row>
        <row r="789">
          <cell r="A789" t="str">
            <v>091306</v>
          </cell>
          <cell r="B789" t="str">
            <v>ANEL DE MASTIQUE BETUMINOSO,DIAMETRO 42 POL</v>
          </cell>
          <cell r="C789" t="str">
            <v>UN</v>
          </cell>
          <cell r="D789">
            <v>41.61</v>
          </cell>
        </row>
        <row r="790">
          <cell r="A790" t="str">
            <v>091307</v>
          </cell>
          <cell r="B790" t="str">
            <v>ANEL DE MASTIQUE BETUMINOSO,DIAMETRO 48 POL</v>
          </cell>
          <cell r="C790" t="str">
            <v>UN</v>
          </cell>
          <cell r="D790">
            <v>47.56</v>
          </cell>
        </row>
        <row r="791">
          <cell r="A791" t="str">
            <v>091308</v>
          </cell>
          <cell r="B791" t="str">
            <v>ANEL DE MASTIQUE BETUMINOSO,DIAMETRO 60 POL</v>
          </cell>
          <cell r="C791" t="str">
            <v>UN</v>
          </cell>
          <cell r="D791">
            <v>59.35</v>
          </cell>
        </row>
        <row r="792">
          <cell r="A792" t="str">
            <v>091309</v>
          </cell>
          <cell r="B792" t="str">
            <v>ANEL DE MASTIQUE BETUMINOSO,DIAMETRO 72 POL</v>
          </cell>
          <cell r="C792" t="str">
            <v>UN</v>
          </cell>
          <cell r="D792">
            <v>71.319999999999993</v>
          </cell>
        </row>
        <row r="793">
          <cell r="A793" t="str">
            <v>091310</v>
          </cell>
          <cell r="B793" t="str">
            <v>ANEL DE MASTIQUE BETUMINOSO,DIAMETRO 84 POL</v>
          </cell>
          <cell r="C793" t="str">
            <v>UN</v>
          </cell>
          <cell r="D793">
            <v>83.29</v>
          </cell>
        </row>
        <row r="794">
          <cell r="A794" t="str">
            <v>091311</v>
          </cell>
          <cell r="B794" t="str">
            <v>ANEL DE MASTIQUE BETUMINOSO,DIAMETRO 100 POL</v>
          </cell>
          <cell r="C794" t="str">
            <v>UN</v>
          </cell>
          <cell r="D794">
            <v>99.15</v>
          </cell>
        </row>
        <row r="796">
          <cell r="A796" t="str">
            <v>091400</v>
          </cell>
          <cell r="B796" t="str">
            <v>FABRICACAO DE CURVAS, A PARTIR DE TUBOS DE ACO, 3 A 22,5 GR</v>
          </cell>
        </row>
        <row r="797">
          <cell r="A797" t="str">
            <v>091401</v>
          </cell>
          <cell r="B797" t="str">
            <v>CURVA DE ACO DIAMETRO 28 POL</v>
          </cell>
          <cell r="C797" t="str">
            <v>UN</v>
          </cell>
          <cell r="D797">
            <v>695.92</v>
          </cell>
        </row>
        <row r="798">
          <cell r="A798" t="str">
            <v>091402</v>
          </cell>
          <cell r="B798" t="str">
            <v>CURVA DE ACO DIAMETRO 30 POL</v>
          </cell>
          <cell r="C798" t="str">
            <v>UN</v>
          </cell>
          <cell r="D798">
            <v>752.87</v>
          </cell>
        </row>
        <row r="799">
          <cell r="A799" t="str">
            <v>091403</v>
          </cell>
          <cell r="B799" t="str">
            <v>CURVA DE ACO DIAMETRO 32 POL</v>
          </cell>
          <cell r="C799" t="str">
            <v>UN</v>
          </cell>
          <cell r="D799">
            <v>800.5</v>
          </cell>
        </row>
        <row r="800">
          <cell r="A800" t="str">
            <v>091404</v>
          </cell>
          <cell r="B800" t="str">
            <v>CURVA DE ACO DIAMETRO 36 POL</v>
          </cell>
          <cell r="C800" t="str">
            <v>UN</v>
          </cell>
          <cell r="D800">
            <v>905.49</v>
          </cell>
        </row>
        <row r="801">
          <cell r="A801" t="str">
            <v>091405</v>
          </cell>
          <cell r="B801" t="str">
            <v>CURVA DE ACO DIAMETRO 40 POL</v>
          </cell>
          <cell r="C801" t="str">
            <v>UN</v>
          </cell>
          <cell r="D801">
            <v>1045.1500000000001</v>
          </cell>
        </row>
        <row r="802">
          <cell r="A802" t="str">
            <v>091406</v>
          </cell>
          <cell r="B802" t="str">
            <v>CURVA DE ACO DIAMETRO 42 POL.</v>
          </cell>
          <cell r="C802" t="str">
            <v>UN</v>
          </cell>
          <cell r="D802">
            <v>1435.72</v>
          </cell>
        </row>
        <row r="803">
          <cell r="A803" t="str">
            <v>091407</v>
          </cell>
          <cell r="B803" t="str">
            <v>CURVA DE ACO DIAMETRO 48 POL.</v>
          </cell>
          <cell r="C803" t="str">
            <v>UN</v>
          </cell>
          <cell r="D803">
            <v>1945.82</v>
          </cell>
        </row>
        <row r="804">
          <cell r="A804" t="str">
            <v>091408</v>
          </cell>
          <cell r="B804" t="str">
            <v>CURVA DE ACO DIAMETRO 60 POL.</v>
          </cell>
          <cell r="C804" t="str">
            <v>UN</v>
          </cell>
          <cell r="D804">
            <v>2520.5300000000002</v>
          </cell>
        </row>
        <row r="805">
          <cell r="A805" t="str">
            <v>091409</v>
          </cell>
          <cell r="B805" t="str">
            <v>CURVA DE ACO DIAMETRO 72 POL.</v>
          </cell>
          <cell r="C805" t="str">
            <v>UN</v>
          </cell>
          <cell r="D805">
            <v>3120.92</v>
          </cell>
        </row>
        <row r="806">
          <cell r="A806" t="str">
            <v>091410</v>
          </cell>
          <cell r="B806" t="str">
            <v>CURVA DE ACO DIAMETRO 84 POL.</v>
          </cell>
          <cell r="C806" t="str">
            <v>UN</v>
          </cell>
          <cell r="D806">
            <v>4142.76</v>
          </cell>
        </row>
        <row r="807">
          <cell r="A807" t="str">
            <v>091411</v>
          </cell>
          <cell r="B807" t="str">
            <v>CURVA DE ACO DIAMETRO 100 POL.</v>
          </cell>
          <cell r="C807" t="str">
            <v>UN</v>
          </cell>
          <cell r="D807">
            <v>5613.58</v>
          </cell>
        </row>
        <row r="809">
          <cell r="A809" t="str">
            <v>091500</v>
          </cell>
          <cell r="B809" t="str">
            <v>FABRICACAO  DE  CURVAS, A PARTIR  DE TUBO DE ACO, 22,51 A 45 GRAUS</v>
          </cell>
        </row>
        <row r="810">
          <cell r="A810" t="str">
            <v>091501</v>
          </cell>
          <cell r="B810" t="str">
            <v>CURVA DE ACO DIAMETRO 28 POL</v>
          </cell>
          <cell r="C810" t="str">
            <v>UN</v>
          </cell>
          <cell r="D810">
            <v>1105.68</v>
          </cell>
        </row>
        <row r="811">
          <cell r="A811" t="str">
            <v>091502</v>
          </cell>
          <cell r="B811" t="str">
            <v>CURVA DE ACO DIAMETRO 30 POL</v>
          </cell>
          <cell r="C811" t="str">
            <v>UN</v>
          </cell>
          <cell r="D811">
            <v>1201.8399999999999</v>
          </cell>
        </row>
        <row r="812">
          <cell r="A812" t="str">
            <v>091503</v>
          </cell>
          <cell r="B812" t="str">
            <v>CURVA DE ACO DIAMETRO 32 POL</v>
          </cell>
          <cell r="C812" t="str">
            <v>UN</v>
          </cell>
          <cell r="D812">
            <v>1261.97</v>
          </cell>
        </row>
        <row r="813">
          <cell r="A813" t="str">
            <v>091504</v>
          </cell>
          <cell r="B813" t="str">
            <v>CURVA DE ACO DIAMETRO 36 POL</v>
          </cell>
          <cell r="C813" t="str">
            <v>UN</v>
          </cell>
          <cell r="D813">
            <v>1476.33</v>
          </cell>
        </row>
        <row r="814">
          <cell r="A814" t="str">
            <v>091505</v>
          </cell>
          <cell r="B814" t="str">
            <v>CURVA DE ACO DIAMETRO 40 POL</v>
          </cell>
          <cell r="C814" t="str">
            <v>UN</v>
          </cell>
          <cell r="D814">
            <v>1655.18</v>
          </cell>
        </row>
        <row r="815">
          <cell r="A815" t="str">
            <v>091506</v>
          </cell>
          <cell r="B815" t="str">
            <v>CURVA DE ACO DIAMETRO 42</v>
          </cell>
          <cell r="C815" t="str">
            <v>UN</v>
          </cell>
          <cell r="D815">
            <v>2274.7199999999998</v>
          </cell>
        </row>
        <row r="816">
          <cell r="A816" t="str">
            <v>091507</v>
          </cell>
          <cell r="B816" t="str">
            <v>CURVA DE ACO DIAMETRO 48 POL.</v>
          </cell>
          <cell r="C816" t="str">
            <v>UN</v>
          </cell>
          <cell r="D816">
            <v>2884.46</v>
          </cell>
        </row>
        <row r="817">
          <cell r="A817" t="str">
            <v>091508</v>
          </cell>
          <cell r="B817" t="str">
            <v>CURVA DE ACO DIAMETRO 60 POL.</v>
          </cell>
          <cell r="C817" t="str">
            <v>UN</v>
          </cell>
          <cell r="D817">
            <v>3925.77</v>
          </cell>
        </row>
        <row r="818">
          <cell r="A818" t="str">
            <v>091509</v>
          </cell>
          <cell r="B818" t="str">
            <v>CURVA DE ACO DIAMETRO 72 POL.</v>
          </cell>
          <cell r="C818" t="str">
            <v>UN</v>
          </cell>
          <cell r="D818">
            <v>4798.22</v>
          </cell>
        </row>
        <row r="819">
          <cell r="A819" t="str">
            <v>091510</v>
          </cell>
          <cell r="B819" t="str">
            <v>CURVA DE ACO DIAMETRO 84 POL.</v>
          </cell>
          <cell r="C819" t="str">
            <v>UN</v>
          </cell>
          <cell r="D819">
            <v>5884.07</v>
          </cell>
        </row>
        <row r="820">
          <cell r="A820" t="str">
            <v>091511</v>
          </cell>
          <cell r="B820" t="str">
            <v>CURVA DE ACO DIAMETRO 100 POL.</v>
          </cell>
          <cell r="C820" t="str">
            <v>UN</v>
          </cell>
          <cell r="D820">
            <v>8033.66</v>
          </cell>
        </row>
        <row r="822">
          <cell r="A822" t="str">
            <v>091600</v>
          </cell>
          <cell r="B822" t="str">
            <v>FABRICACAO  DE  CURVAS, A PARTIR DE TUBOS DE ACO, 45,01 A 67,5 GR</v>
          </cell>
        </row>
        <row r="823">
          <cell r="A823" t="str">
            <v>091601</v>
          </cell>
          <cell r="B823" t="str">
            <v>CURVA DE ACO DIAMETRO 28 POL</v>
          </cell>
          <cell r="C823" t="str">
            <v>UN</v>
          </cell>
          <cell r="D823">
            <v>1612.71</v>
          </cell>
        </row>
        <row r="824">
          <cell r="A824" t="str">
            <v>091602</v>
          </cell>
          <cell r="B824" t="str">
            <v>CURVA DE ACO DIAMETRO 30 POL</v>
          </cell>
          <cell r="C824" t="str">
            <v>UN</v>
          </cell>
          <cell r="D824">
            <v>1760.82</v>
          </cell>
        </row>
        <row r="825">
          <cell r="A825" t="str">
            <v>091603</v>
          </cell>
          <cell r="B825" t="str">
            <v>CURVA DE ACO DIAMETRO 32 POL</v>
          </cell>
          <cell r="C825" t="str">
            <v>UN</v>
          </cell>
          <cell r="D825">
            <v>1892.96</v>
          </cell>
        </row>
        <row r="826">
          <cell r="A826" t="str">
            <v>091604</v>
          </cell>
          <cell r="B826" t="str">
            <v>CURVA DE ACO DIAMETRO 36 POL</v>
          </cell>
          <cell r="C826" t="str">
            <v>UN</v>
          </cell>
          <cell r="D826">
            <v>2156.58</v>
          </cell>
        </row>
        <row r="827">
          <cell r="A827" t="str">
            <v>091605</v>
          </cell>
          <cell r="B827" t="str">
            <v>CURVA DE ACO DIAMETRO 40 POL</v>
          </cell>
          <cell r="C827" t="str">
            <v>UN</v>
          </cell>
          <cell r="D827">
            <v>2435.4899999999998</v>
          </cell>
        </row>
        <row r="828">
          <cell r="A828" t="str">
            <v>091606</v>
          </cell>
          <cell r="B828" t="str">
            <v>CURVA DE ACO DIAMETRO 42 POL.</v>
          </cell>
          <cell r="C828" t="str">
            <v>UN</v>
          </cell>
          <cell r="D828">
            <v>3384.41</v>
          </cell>
        </row>
        <row r="829">
          <cell r="A829" t="str">
            <v>091607</v>
          </cell>
          <cell r="B829" t="str">
            <v>CURVA DE ACO DIAMETRO 48 POL.</v>
          </cell>
          <cell r="C829" t="str">
            <v>UN</v>
          </cell>
          <cell r="D829">
            <v>4214.25</v>
          </cell>
        </row>
        <row r="830">
          <cell r="A830" t="str">
            <v>091608</v>
          </cell>
          <cell r="B830" t="str">
            <v>CURVA DE ACO DIAMETRO 60 POL.</v>
          </cell>
          <cell r="C830" t="str">
            <v>UN</v>
          </cell>
          <cell r="D830">
            <v>5829.08</v>
          </cell>
        </row>
        <row r="831">
          <cell r="A831" t="str">
            <v>091609</v>
          </cell>
          <cell r="B831" t="str">
            <v>CURVA DE ACO DIAMETRO 72 POL.</v>
          </cell>
          <cell r="C831" t="str">
            <v>UN</v>
          </cell>
          <cell r="D831">
            <v>7160.04</v>
          </cell>
        </row>
        <row r="832">
          <cell r="A832" t="str">
            <v>091610</v>
          </cell>
          <cell r="B832" t="str">
            <v>CURVA DE ACO DIAMETRO 84 POL.</v>
          </cell>
          <cell r="C832" t="str">
            <v>UN</v>
          </cell>
          <cell r="D832">
            <v>8776.84</v>
          </cell>
        </row>
        <row r="833">
          <cell r="A833" t="str">
            <v>091611</v>
          </cell>
          <cell r="B833" t="str">
            <v>CURVA DE ACO DIAMETRO 100 POL.</v>
          </cell>
          <cell r="C833" t="str">
            <v>UN</v>
          </cell>
          <cell r="D833">
            <v>11956.62</v>
          </cell>
        </row>
        <row r="835">
          <cell r="A835" t="str">
            <v>091700</v>
          </cell>
          <cell r="B835" t="str">
            <v>F0BRICACAO  DE  CURVAS, A PARTIR DE TUBOS DE ACO, 67,51 A 90 GR</v>
          </cell>
        </row>
        <row r="836">
          <cell r="A836" t="str">
            <v>091701</v>
          </cell>
          <cell r="B836" t="str">
            <v>CURVA DE ACO DIAMETRO 28 POL</v>
          </cell>
          <cell r="C836" t="str">
            <v>UN</v>
          </cell>
          <cell r="D836">
            <v>2127.65</v>
          </cell>
        </row>
        <row r="837">
          <cell r="A837" t="str">
            <v>091702</v>
          </cell>
          <cell r="B837" t="str">
            <v>CURVA DE ACO DIAMETRO 30 POL</v>
          </cell>
          <cell r="C837" t="str">
            <v>UN</v>
          </cell>
          <cell r="D837">
            <v>2305.15</v>
          </cell>
        </row>
        <row r="838">
          <cell r="A838" t="str">
            <v>091703</v>
          </cell>
          <cell r="B838" t="str">
            <v>CURVA DE ACO DIAMETRO 32 POL</v>
          </cell>
          <cell r="C838" t="str">
            <v>UN</v>
          </cell>
          <cell r="D838">
            <v>2481.3200000000002</v>
          </cell>
        </row>
        <row r="839">
          <cell r="A839" t="str">
            <v>091704</v>
          </cell>
          <cell r="B839" t="str">
            <v>CURVA DE ACO DIAMETRO 36 POL</v>
          </cell>
          <cell r="C839" t="str">
            <v>UN</v>
          </cell>
          <cell r="D839">
            <v>2838.15</v>
          </cell>
        </row>
        <row r="840">
          <cell r="A840" t="str">
            <v>091705</v>
          </cell>
          <cell r="B840" t="str">
            <v>CURVA DE ACO DIAMETRO 40 POL</v>
          </cell>
          <cell r="C840" t="str">
            <v>UN</v>
          </cell>
          <cell r="D840">
            <v>3193.15</v>
          </cell>
        </row>
        <row r="841">
          <cell r="A841" t="str">
            <v>091706</v>
          </cell>
          <cell r="B841" t="str">
            <v>CURVA DE ACO DIAMETRO 42 POL.</v>
          </cell>
          <cell r="C841" t="str">
            <v>UN</v>
          </cell>
          <cell r="D841">
            <v>4450.83</v>
          </cell>
        </row>
        <row r="842">
          <cell r="A842" t="str">
            <v>091707</v>
          </cell>
          <cell r="B842" t="str">
            <v>CURVA DE ACO DIAMETRO 48 POL.</v>
          </cell>
          <cell r="C842" t="str">
            <v>UN</v>
          </cell>
          <cell r="D842">
            <v>5526.61</v>
          </cell>
        </row>
        <row r="843">
          <cell r="A843" t="str">
            <v>091708</v>
          </cell>
          <cell r="B843" t="str">
            <v>CURVA DE ACO DIAMETRO 60 POL.</v>
          </cell>
          <cell r="C843" t="str">
            <v>UN</v>
          </cell>
          <cell r="D843">
            <v>7697.46</v>
          </cell>
        </row>
        <row r="844">
          <cell r="A844" t="str">
            <v>091709</v>
          </cell>
          <cell r="B844" t="str">
            <v>CURVA DE ACO DIAMETRO 72 POL.</v>
          </cell>
          <cell r="C844" t="str">
            <v>UN</v>
          </cell>
          <cell r="D844">
            <v>9247.51</v>
          </cell>
        </row>
        <row r="845">
          <cell r="A845" t="str">
            <v>091710</v>
          </cell>
          <cell r="B845" t="str">
            <v>CURVA DE ACO DIAMETRO 84 POL.</v>
          </cell>
          <cell r="C845" t="str">
            <v>UN</v>
          </cell>
          <cell r="D845">
            <v>11380.57</v>
          </cell>
        </row>
        <row r="846">
          <cell r="A846" t="str">
            <v>091711</v>
          </cell>
          <cell r="B846" t="str">
            <v>CURVA DE ACO DIAMETRO 100 POL.</v>
          </cell>
          <cell r="C846" t="str">
            <v>UN</v>
          </cell>
          <cell r="D846">
            <v>15527.9</v>
          </cell>
        </row>
        <row r="848">
          <cell r="A848" t="str">
            <v>091800</v>
          </cell>
          <cell r="B848" t="str">
            <v>CORTE E BISELAMENTO EM TUBOS DE ACO E = 5/16 POLEGADA</v>
          </cell>
        </row>
        <row r="849">
          <cell r="A849" t="str">
            <v>091801</v>
          </cell>
          <cell r="B849" t="str">
            <v>DIAMETRO 4  POLEGADA</v>
          </cell>
          <cell r="C849" t="str">
            <v>UN</v>
          </cell>
          <cell r="D849">
            <v>11.27</v>
          </cell>
        </row>
        <row r="850">
          <cell r="A850" t="str">
            <v>091802</v>
          </cell>
          <cell r="B850" t="str">
            <v>DIAMETRO 6  POLEGADA</v>
          </cell>
          <cell r="C850" t="str">
            <v>UN</v>
          </cell>
          <cell r="D850">
            <v>16.91</v>
          </cell>
        </row>
        <row r="851">
          <cell r="A851" t="str">
            <v>091803</v>
          </cell>
          <cell r="B851" t="str">
            <v>DIAMETRO 8  POLEGADA</v>
          </cell>
          <cell r="C851" t="str">
            <v>UN</v>
          </cell>
          <cell r="D851">
            <v>22.55</v>
          </cell>
        </row>
        <row r="852">
          <cell r="A852" t="str">
            <v>091804</v>
          </cell>
          <cell r="B852" t="str">
            <v>DIAMETRO 10 POLEGADA</v>
          </cell>
          <cell r="C852" t="str">
            <v>UN</v>
          </cell>
          <cell r="D852">
            <v>28.19</v>
          </cell>
        </row>
        <row r="853">
          <cell r="A853" t="str">
            <v>091805</v>
          </cell>
          <cell r="B853" t="str">
            <v>DIAMETRO 12 POLEGADA</v>
          </cell>
          <cell r="C853" t="str">
            <v>UN</v>
          </cell>
          <cell r="D853">
            <v>33.83</v>
          </cell>
        </row>
        <row r="854">
          <cell r="A854" t="str">
            <v>091806</v>
          </cell>
          <cell r="B854" t="str">
            <v>DIAMETRO 16 POLEGADA</v>
          </cell>
          <cell r="C854" t="str">
            <v>UN</v>
          </cell>
          <cell r="D854">
            <v>45.12</v>
          </cell>
        </row>
        <row r="855">
          <cell r="A855" t="str">
            <v>091807</v>
          </cell>
          <cell r="B855" t="str">
            <v>DIAMETRO 20 POLEGADA</v>
          </cell>
          <cell r="C855" t="str">
            <v>UN</v>
          </cell>
          <cell r="D855">
            <v>56.4</v>
          </cell>
        </row>
        <row r="856">
          <cell r="A856" t="str">
            <v>091808</v>
          </cell>
          <cell r="B856" t="str">
            <v>DIAMETRO 24 POLEGADA</v>
          </cell>
          <cell r="C856" t="str">
            <v>UN</v>
          </cell>
          <cell r="D856">
            <v>67.680000000000007</v>
          </cell>
        </row>
        <row r="857">
          <cell r="A857" t="str">
            <v>091809</v>
          </cell>
          <cell r="B857" t="str">
            <v>DIAMETRO 28 POLEGADA</v>
          </cell>
          <cell r="C857" t="str">
            <v>UN</v>
          </cell>
          <cell r="D857">
            <v>78.97</v>
          </cell>
        </row>
        <row r="858">
          <cell r="A858" t="str">
            <v>091810</v>
          </cell>
          <cell r="B858" t="str">
            <v>DIAMETRO 30 POLEGADA</v>
          </cell>
          <cell r="C858" t="str">
            <v>UN</v>
          </cell>
          <cell r="D858">
            <v>84.61</v>
          </cell>
        </row>
        <row r="859">
          <cell r="A859" t="str">
            <v>091811</v>
          </cell>
          <cell r="B859" t="str">
            <v>DIAMETRO 32 POLEGADA</v>
          </cell>
          <cell r="C859" t="str">
            <v>UN</v>
          </cell>
          <cell r="D859">
            <v>90.25</v>
          </cell>
        </row>
        <row r="860">
          <cell r="A860" t="str">
            <v>091812</v>
          </cell>
          <cell r="B860" t="str">
            <v>DIAMETRO 36 POLEGADA</v>
          </cell>
          <cell r="C860" t="str">
            <v>UN</v>
          </cell>
          <cell r="D860">
            <v>101.53</v>
          </cell>
        </row>
        <row r="861">
          <cell r="A861" t="str">
            <v>091813</v>
          </cell>
          <cell r="B861" t="str">
            <v>DIAMETRO 40 POLEGADA</v>
          </cell>
          <cell r="C861" t="str">
            <v>UN</v>
          </cell>
          <cell r="D861">
            <v>112.81</v>
          </cell>
        </row>
        <row r="863">
          <cell r="A863" t="str">
            <v>091900</v>
          </cell>
          <cell r="B863" t="str">
            <v>CORTE E BISELAMENTO EM TUBOS DE ACO E = 7/16 POLEGADA</v>
          </cell>
        </row>
        <row r="864">
          <cell r="A864" t="str">
            <v>091914</v>
          </cell>
          <cell r="B864" t="str">
            <v>DIAMETRO - 42 POL.</v>
          </cell>
          <cell r="C864" t="str">
            <v>UN</v>
          </cell>
          <cell r="D864">
            <v>167.68</v>
          </cell>
        </row>
        <row r="865">
          <cell r="A865" t="str">
            <v>091915</v>
          </cell>
          <cell r="B865" t="str">
            <v>DIAMETRO - 48 POL.</v>
          </cell>
          <cell r="C865" t="str">
            <v>UN</v>
          </cell>
          <cell r="D865">
            <v>191.63</v>
          </cell>
        </row>
        <row r="867">
          <cell r="A867" t="str">
            <v>092100</v>
          </cell>
          <cell r="B867" t="str">
            <v>SOLDA EM TUBOS DE ACO E = 5/16 POLEGADA</v>
          </cell>
        </row>
        <row r="868">
          <cell r="A868" t="str">
            <v>092101</v>
          </cell>
          <cell r="B868" t="str">
            <v>DIAMETRO 4  POLEGADA</v>
          </cell>
          <cell r="C868" t="str">
            <v>UN</v>
          </cell>
          <cell r="D868">
            <v>21.01</v>
          </cell>
        </row>
        <row r="869">
          <cell r="A869" t="str">
            <v>092102</v>
          </cell>
          <cell r="B869" t="str">
            <v>DIAMETRO 6  POLEGADA</v>
          </cell>
          <cell r="C869" t="str">
            <v>UN</v>
          </cell>
          <cell r="D869">
            <v>31.52</v>
          </cell>
        </row>
        <row r="870">
          <cell r="A870" t="str">
            <v>092103</v>
          </cell>
          <cell r="B870" t="str">
            <v>DIAMETRO 8  POLEGADA</v>
          </cell>
          <cell r="C870" t="str">
            <v>UN</v>
          </cell>
          <cell r="D870">
            <v>42.02</v>
          </cell>
        </row>
        <row r="871">
          <cell r="A871" t="str">
            <v>092104</v>
          </cell>
          <cell r="B871" t="str">
            <v>DIAMETRO 10 POLEGADA</v>
          </cell>
          <cell r="C871" t="str">
            <v>UN</v>
          </cell>
          <cell r="D871">
            <v>52.54</v>
          </cell>
        </row>
        <row r="872">
          <cell r="A872" t="str">
            <v>092105</v>
          </cell>
          <cell r="B872" t="str">
            <v>DIAMETRO 12 POLEGADA</v>
          </cell>
          <cell r="C872" t="str">
            <v>UN</v>
          </cell>
          <cell r="D872">
            <v>63.05</v>
          </cell>
        </row>
        <row r="873">
          <cell r="A873" t="str">
            <v>092106</v>
          </cell>
          <cell r="B873" t="str">
            <v>DIAMETRO 16 POLEGADA</v>
          </cell>
          <cell r="C873" t="str">
            <v>UN</v>
          </cell>
          <cell r="D873">
            <v>84.06</v>
          </cell>
        </row>
        <row r="874">
          <cell r="A874" t="str">
            <v>092107</v>
          </cell>
          <cell r="B874" t="str">
            <v>DIAMETRO 20 POLEGADA</v>
          </cell>
          <cell r="C874" t="str">
            <v>UN</v>
          </cell>
          <cell r="D874">
            <v>105.09</v>
          </cell>
        </row>
        <row r="875">
          <cell r="A875" t="str">
            <v>092108</v>
          </cell>
          <cell r="B875" t="str">
            <v>DIAMETRO 24 POLEGADA</v>
          </cell>
          <cell r="C875" t="str">
            <v>UN</v>
          </cell>
          <cell r="D875">
            <v>126.11</v>
          </cell>
        </row>
        <row r="876">
          <cell r="A876" t="str">
            <v>092109</v>
          </cell>
          <cell r="B876" t="str">
            <v>DIAMETRO 28 POLEGADA</v>
          </cell>
          <cell r="C876" t="str">
            <v>UN</v>
          </cell>
          <cell r="D876">
            <v>147.13</v>
          </cell>
        </row>
        <row r="877">
          <cell r="A877" t="str">
            <v>092110</v>
          </cell>
          <cell r="B877" t="str">
            <v>DIAMETRO 30 POLEGADA</v>
          </cell>
          <cell r="C877" t="str">
            <v>UN</v>
          </cell>
          <cell r="D877">
            <v>157.63999999999999</v>
          </cell>
        </row>
        <row r="878">
          <cell r="A878" t="str">
            <v>092111</v>
          </cell>
          <cell r="B878" t="str">
            <v>DIAMETRO 32 POLEGADA</v>
          </cell>
          <cell r="C878" t="str">
            <v>UN</v>
          </cell>
          <cell r="D878">
            <v>168.15</v>
          </cell>
        </row>
        <row r="879">
          <cell r="A879" t="str">
            <v>092112</v>
          </cell>
          <cell r="B879" t="str">
            <v>DIAMETRO 36 POLEGADA</v>
          </cell>
          <cell r="C879" t="str">
            <v>UN</v>
          </cell>
          <cell r="D879">
            <v>189.16</v>
          </cell>
        </row>
        <row r="880">
          <cell r="A880" t="str">
            <v>092113</v>
          </cell>
          <cell r="B880" t="str">
            <v>DIAMETRO 40 POLEGADA</v>
          </cell>
          <cell r="C880" t="str">
            <v>UN</v>
          </cell>
          <cell r="D880">
            <v>210.19</v>
          </cell>
        </row>
        <row r="882">
          <cell r="A882" t="str">
            <v>092200</v>
          </cell>
          <cell r="B882" t="str">
            <v>SOLDA EM TUBOS DE ACO E = 7/16 POLEGADA</v>
          </cell>
        </row>
        <row r="883">
          <cell r="A883" t="str">
            <v>092214</v>
          </cell>
          <cell r="B883" t="str">
            <v>DIAMETRO - 42 POL.</v>
          </cell>
          <cell r="C883" t="str">
            <v>UN</v>
          </cell>
          <cell r="D883">
            <v>312.82</v>
          </cell>
        </row>
        <row r="884">
          <cell r="A884" t="str">
            <v>092215</v>
          </cell>
          <cell r="B884" t="str">
            <v>DIAMETRO - 48 POL.</v>
          </cell>
          <cell r="C884" t="str">
            <v>UN</v>
          </cell>
          <cell r="D884">
            <v>357.53</v>
          </cell>
        </row>
        <row r="886">
          <cell r="A886" t="str">
            <v>092400</v>
          </cell>
          <cell r="B886" t="str">
            <v>REVESTIMENTO DE PROTECAO EXTERNA DE JUNTAS SOLDADAS - ACO</v>
          </cell>
        </row>
        <row r="887">
          <cell r="A887" t="str">
            <v>092401</v>
          </cell>
          <cell r="B887" t="str">
            <v>DIAMETRO 4  POLEGADA</v>
          </cell>
          <cell r="C887" t="str">
            <v>UN</v>
          </cell>
          <cell r="D887">
            <v>4.24</v>
          </cell>
        </row>
        <row r="888">
          <cell r="A888" t="str">
            <v>092402</v>
          </cell>
          <cell r="B888" t="str">
            <v>DIAMETRO 6  POLEGADA</v>
          </cell>
          <cell r="C888" t="str">
            <v>UN</v>
          </cell>
          <cell r="D888">
            <v>6.35</v>
          </cell>
        </row>
        <row r="889">
          <cell r="A889" t="str">
            <v>092403</v>
          </cell>
          <cell r="B889" t="str">
            <v>DIAMETRO 8  POLEGADA</v>
          </cell>
          <cell r="C889" t="str">
            <v>UN</v>
          </cell>
          <cell r="D889">
            <v>8.48</v>
          </cell>
        </row>
        <row r="890">
          <cell r="A890" t="str">
            <v>092404</v>
          </cell>
          <cell r="B890" t="str">
            <v>DIAMETRO 10 POLEGADA</v>
          </cell>
          <cell r="C890" t="str">
            <v>UN</v>
          </cell>
          <cell r="D890">
            <v>10.62</v>
          </cell>
        </row>
        <row r="891">
          <cell r="A891" t="str">
            <v>092405</v>
          </cell>
          <cell r="B891" t="str">
            <v>DIAMETRO 12 POLEGADA</v>
          </cell>
          <cell r="C891" t="str">
            <v>UN</v>
          </cell>
          <cell r="D891">
            <v>12.74</v>
          </cell>
        </row>
        <row r="892">
          <cell r="A892" t="str">
            <v>092406</v>
          </cell>
          <cell r="B892" t="str">
            <v>DIAMETRO 16 POLEGADA</v>
          </cell>
          <cell r="C892" t="str">
            <v>UN</v>
          </cell>
          <cell r="D892">
            <v>16.98</v>
          </cell>
        </row>
        <row r="893">
          <cell r="A893" t="str">
            <v>092407</v>
          </cell>
          <cell r="B893" t="str">
            <v>DIAMETRO 20 POLEGADA</v>
          </cell>
          <cell r="C893" t="str">
            <v>UN</v>
          </cell>
          <cell r="D893">
            <v>21.24</v>
          </cell>
        </row>
        <row r="894">
          <cell r="A894" t="str">
            <v>092408</v>
          </cell>
          <cell r="B894" t="str">
            <v>DIAMETRO 24 POLEGADA</v>
          </cell>
          <cell r="C894" t="str">
            <v>UN</v>
          </cell>
          <cell r="D894">
            <v>25.48</v>
          </cell>
        </row>
        <row r="895">
          <cell r="A895" t="str">
            <v>092409</v>
          </cell>
          <cell r="B895" t="str">
            <v>DIAMETRO 28 POLEGADA</v>
          </cell>
          <cell r="C895" t="str">
            <v>UN</v>
          </cell>
          <cell r="D895">
            <v>29.73</v>
          </cell>
        </row>
        <row r="896">
          <cell r="A896" t="str">
            <v>092410</v>
          </cell>
          <cell r="B896" t="str">
            <v>DIAMETRO 30 POLEGADA</v>
          </cell>
          <cell r="C896" t="str">
            <v>UN</v>
          </cell>
          <cell r="D896">
            <v>63.73</v>
          </cell>
        </row>
        <row r="897">
          <cell r="A897" t="str">
            <v>092411</v>
          </cell>
          <cell r="B897" t="str">
            <v>DIAMETRO 32 POLEGADA</v>
          </cell>
          <cell r="C897" t="str">
            <v>UN</v>
          </cell>
          <cell r="D897">
            <v>67.97</v>
          </cell>
        </row>
        <row r="898">
          <cell r="A898" t="str">
            <v>092412</v>
          </cell>
          <cell r="B898" t="str">
            <v>DIAMETRO 36 POLEGADA</v>
          </cell>
          <cell r="C898" t="str">
            <v>UN</v>
          </cell>
          <cell r="D898">
            <v>95.6</v>
          </cell>
        </row>
        <row r="899">
          <cell r="A899" t="str">
            <v>092413</v>
          </cell>
          <cell r="B899" t="str">
            <v>DIAMETRO 40 POLEGADA</v>
          </cell>
          <cell r="C899" t="str">
            <v>UN</v>
          </cell>
          <cell r="D899">
            <v>106.21</v>
          </cell>
        </row>
        <row r="901">
          <cell r="A901" t="str">
            <v>092500</v>
          </cell>
          <cell r="B901" t="str">
            <v>PINTURA DE TUBOS E PECAS DE ACO EM EPOXI</v>
          </cell>
        </row>
        <row r="902">
          <cell r="A902" t="str">
            <v>092501</v>
          </cell>
          <cell r="B902" t="str">
            <v>PINTURA DE TUBOS E PECAS DE ACO EM EPOXI</v>
          </cell>
          <cell r="C902" t="str">
            <v>M2</v>
          </cell>
          <cell r="D902">
            <v>58.97</v>
          </cell>
        </row>
        <row r="904">
          <cell r="A904" t="str">
            <v>092600</v>
          </cell>
          <cell r="B904" t="str">
            <v>PINTURA DE CONEXOES E PECAS EM GERAL COM COALTAR  EPOXI - ACO</v>
          </cell>
        </row>
        <row r="905">
          <cell r="A905" t="str">
            <v>092601</v>
          </cell>
          <cell r="B905" t="str">
            <v>PINTURA DE CONEXOES E PECAS EM GERAL COM COALTAR  EPOXI</v>
          </cell>
          <cell r="C905" t="str">
            <v>M2</v>
          </cell>
          <cell r="D905">
            <v>52.26</v>
          </cell>
        </row>
        <row r="907">
          <cell r="A907" t="str">
            <v>092700</v>
          </cell>
          <cell r="B907" t="str">
            <v>PINTURA DE TUBOS DE ACO COM COALTAR EPOXI - ACO</v>
          </cell>
        </row>
        <row r="908">
          <cell r="A908" t="str">
            <v>092701</v>
          </cell>
          <cell r="B908" t="str">
            <v>DIAMETRO 4  POLEGADA</v>
          </cell>
          <cell r="C908" t="str">
            <v>M</v>
          </cell>
          <cell r="D908">
            <v>21.91</v>
          </cell>
        </row>
        <row r="909">
          <cell r="A909" t="str">
            <v>092702</v>
          </cell>
          <cell r="B909" t="str">
            <v>DIAMETRO 6  POLEGADA</v>
          </cell>
          <cell r="C909" t="str">
            <v>M</v>
          </cell>
          <cell r="D909">
            <v>32.94</v>
          </cell>
        </row>
        <row r="910">
          <cell r="A910" t="str">
            <v>092703</v>
          </cell>
          <cell r="B910" t="str">
            <v>DIAMETRO 8  POLEGADA</v>
          </cell>
          <cell r="C910" t="str">
            <v>M</v>
          </cell>
          <cell r="D910">
            <v>43.9</v>
          </cell>
        </row>
        <row r="911">
          <cell r="A911" t="str">
            <v>092704</v>
          </cell>
          <cell r="B911" t="str">
            <v>DIAMETRO 10 POLEGADA</v>
          </cell>
          <cell r="C911" t="str">
            <v>M</v>
          </cell>
          <cell r="D911">
            <v>54.94</v>
          </cell>
        </row>
        <row r="912">
          <cell r="A912" t="str">
            <v>092705</v>
          </cell>
          <cell r="B912" t="str">
            <v>DIAMETRO 12 POLEGADA</v>
          </cell>
          <cell r="C912" t="str">
            <v>M</v>
          </cell>
          <cell r="D912">
            <v>65.88</v>
          </cell>
        </row>
        <row r="913">
          <cell r="A913" t="str">
            <v>092706</v>
          </cell>
          <cell r="B913" t="str">
            <v>DIAMETRO 16 POLEGADA</v>
          </cell>
          <cell r="C913" t="str">
            <v>M</v>
          </cell>
          <cell r="D913">
            <v>87.7</v>
          </cell>
        </row>
        <row r="914">
          <cell r="A914" t="str">
            <v>092707</v>
          </cell>
          <cell r="B914" t="str">
            <v>DIAMETRO 20 POLEGADA</v>
          </cell>
          <cell r="C914" t="str">
            <v>M</v>
          </cell>
          <cell r="D914">
            <v>109.88</v>
          </cell>
        </row>
        <row r="915">
          <cell r="A915" t="str">
            <v>092708</v>
          </cell>
          <cell r="B915" t="str">
            <v>DIAMETRO 24 POLEGADA</v>
          </cell>
          <cell r="C915" t="str">
            <v>M</v>
          </cell>
          <cell r="D915">
            <v>131.81</v>
          </cell>
        </row>
        <row r="916">
          <cell r="A916" t="str">
            <v>092709</v>
          </cell>
          <cell r="B916" t="str">
            <v>DIAMETRO 28 POLEGADA</v>
          </cell>
          <cell r="C916" t="str">
            <v>M</v>
          </cell>
          <cell r="D916">
            <v>153.81</v>
          </cell>
        </row>
        <row r="917">
          <cell r="A917" t="str">
            <v>092710</v>
          </cell>
          <cell r="B917" t="str">
            <v>DIAMETRO 30 POLEGADA</v>
          </cell>
          <cell r="C917" t="str">
            <v>M</v>
          </cell>
          <cell r="D917">
            <v>164.88</v>
          </cell>
        </row>
        <row r="918">
          <cell r="A918" t="str">
            <v>092711</v>
          </cell>
          <cell r="B918" t="str">
            <v>DIAMETRO 32 POLEGADA</v>
          </cell>
          <cell r="C918" t="str">
            <v>M</v>
          </cell>
          <cell r="D918">
            <v>175.86</v>
          </cell>
        </row>
        <row r="919">
          <cell r="A919" t="str">
            <v>092712</v>
          </cell>
          <cell r="B919" t="str">
            <v>DIAMETRO 36 POLEGADA</v>
          </cell>
          <cell r="C919" t="str">
            <v>M</v>
          </cell>
          <cell r="D919">
            <v>197.85</v>
          </cell>
        </row>
        <row r="920">
          <cell r="A920" t="str">
            <v>092713</v>
          </cell>
          <cell r="B920" t="str">
            <v>DIAMETRO 40 POLEGADA</v>
          </cell>
          <cell r="C920" t="str">
            <v>M</v>
          </cell>
          <cell r="D920">
            <v>219.86</v>
          </cell>
        </row>
        <row r="922">
          <cell r="A922" t="str">
            <v>092800</v>
          </cell>
          <cell r="B922" t="str">
            <v>FABRICACAO E MONTAGEM DE PECAS DE ACO NO CAMPO</v>
          </cell>
        </row>
        <row r="923">
          <cell r="A923" t="str">
            <v>092801</v>
          </cell>
          <cell r="B923" t="str">
            <v>FABRICACAO DE PECAS</v>
          </cell>
          <cell r="C923" t="str">
            <v>KG</v>
          </cell>
          <cell r="D923">
            <v>6.71</v>
          </cell>
        </row>
        <row r="924">
          <cell r="A924" t="str">
            <v>092802</v>
          </cell>
          <cell r="B924" t="str">
            <v>MONTAGEM DE PECAS E MISCELANEAS</v>
          </cell>
          <cell r="C924" t="str">
            <v>KG</v>
          </cell>
          <cell r="D924">
            <v>2.69</v>
          </cell>
        </row>
        <row r="926">
          <cell r="A926" t="str">
            <v>092900</v>
          </cell>
          <cell r="B926" t="str">
            <v>CARGA, TRANSPORTE ATE 10 KM E DESCARGA DE TUBOS E PECAS DE PVC RIGIDO E PVC RIGIDO DEFOFO</v>
          </cell>
        </row>
        <row r="927">
          <cell r="A927" t="str">
            <v>092901</v>
          </cell>
          <cell r="B927" t="str">
            <v>TUBOS E PECAS, DIAMETRO  50 MM</v>
          </cell>
          <cell r="C927" t="str">
            <v>KM</v>
          </cell>
          <cell r="D927">
            <v>49.76</v>
          </cell>
        </row>
        <row r="928">
          <cell r="A928" t="str">
            <v>092902</v>
          </cell>
          <cell r="B928" t="str">
            <v>TUBOS E PECAS, DIAMETRO  75 MM</v>
          </cell>
          <cell r="C928" t="str">
            <v>KM</v>
          </cell>
          <cell r="D928">
            <v>139.35</v>
          </cell>
        </row>
        <row r="929">
          <cell r="A929" t="str">
            <v>092903</v>
          </cell>
          <cell r="B929" t="str">
            <v>TUBOS E PECAS, DIAMETRO 100M</v>
          </cell>
          <cell r="C929" t="str">
            <v>KM</v>
          </cell>
          <cell r="D929">
            <v>152.65</v>
          </cell>
        </row>
        <row r="930">
          <cell r="A930" t="str">
            <v>092904</v>
          </cell>
          <cell r="B930" t="str">
            <v>TUBOS E PECAS, DIAMETRO 150MM</v>
          </cell>
          <cell r="C930" t="str">
            <v>KM</v>
          </cell>
          <cell r="D930">
            <v>232.27</v>
          </cell>
        </row>
        <row r="931">
          <cell r="A931" t="str">
            <v>092905</v>
          </cell>
          <cell r="B931" t="str">
            <v>TUBOS E PECAS, DIAMETRO 200 MM</v>
          </cell>
          <cell r="C931" t="str">
            <v>KM</v>
          </cell>
          <cell r="D931">
            <v>305.32</v>
          </cell>
        </row>
        <row r="932">
          <cell r="A932" t="str">
            <v>092906</v>
          </cell>
          <cell r="B932" t="str">
            <v>TUBOS E PECAS, DIAMETRO 250MM</v>
          </cell>
          <cell r="C932" t="str">
            <v>KM</v>
          </cell>
          <cell r="D932">
            <v>384.92</v>
          </cell>
        </row>
        <row r="933">
          <cell r="A933" t="str">
            <v>092907</v>
          </cell>
          <cell r="B933" t="str">
            <v>TUBOS E PECAS, DIAMETRO 300 MM</v>
          </cell>
          <cell r="C933" t="str">
            <v>KM</v>
          </cell>
          <cell r="D933">
            <v>464.54</v>
          </cell>
        </row>
        <row r="934">
          <cell r="A934" t="str">
            <v>092908</v>
          </cell>
          <cell r="B934" t="str">
            <v>TUBO E PECAS, DIAMETRO 350 MM</v>
          </cell>
          <cell r="C934" t="str">
            <v>KM</v>
          </cell>
          <cell r="D934">
            <v>537.59</v>
          </cell>
        </row>
        <row r="935">
          <cell r="A935" t="str">
            <v>092909</v>
          </cell>
          <cell r="B935" t="str">
            <v>TUBOS E PECAS, DIAMETRO 400 MM</v>
          </cell>
          <cell r="C935" t="str">
            <v>KM</v>
          </cell>
          <cell r="D935">
            <v>610.65</v>
          </cell>
        </row>
        <row r="937">
          <cell r="A937" t="str">
            <v>093000</v>
          </cell>
          <cell r="B937" t="str">
            <v>TRANSPORTE EXCEDENTE A 10 KM DE TUBOS E PECAS DE PVC RIGIDO E PVC RIGIDO DE FOFO</v>
          </cell>
        </row>
        <row r="938">
          <cell r="A938" t="str">
            <v>093001</v>
          </cell>
          <cell r="B938" t="str">
            <v>TUBOS E PECAS, DIAMETRO  50 MM</v>
          </cell>
          <cell r="C938" t="str">
            <v>KMXKM</v>
          </cell>
          <cell r="D938">
            <v>1.94</v>
          </cell>
        </row>
        <row r="939">
          <cell r="A939" t="str">
            <v>093002</v>
          </cell>
          <cell r="B939" t="str">
            <v>TUBOS E PECAS, DIAMETRO  75 MM</v>
          </cell>
          <cell r="C939" t="str">
            <v>KMXKM</v>
          </cell>
          <cell r="D939">
            <v>2.08</v>
          </cell>
        </row>
        <row r="940">
          <cell r="A940" t="str">
            <v>093003</v>
          </cell>
          <cell r="B940" t="str">
            <v>TUBOS E PECAS, DIAMETRO 100 MM</v>
          </cell>
          <cell r="C940" t="str">
            <v>KMXKM</v>
          </cell>
          <cell r="D940">
            <v>2.3199999999999998</v>
          </cell>
        </row>
        <row r="941">
          <cell r="A941" t="str">
            <v>093004</v>
          </cell>
          <cell r="B941" t="str">
            <v>TUBOS E PECAS, DIAMETRO 150 MM</v>
          </cell>
          <cell r="C941" t="str">
            <v>KMXKM</v>
          </cell>
          <cell r="D941">
            <v>2.73</v>
          </cell>
        </row>
        <row r="942">
          <cell r="A942" t="str">
            <v>093005</v>
          </cell>
          <cell r="B942" t="str">
            <v>TUBOS E PECAS, DIAMETRO 200 MM</v>
          </cell>
          <cell r="C942" t="str">
            <v>KMXKM</v>
          </cell>
          <cell r="D942">
            <v>3.16</v>
          </cell>
        </row>
        <row r="943">
          <cell r="A943" t="str">
            <v>093006</v>
          </cell>
          <cell r="B943" t="str">
            <v>TUBOS E PECAS, DIAMETRO 250 MM</v>
          </cell>
          <cell r="C943" t="str">
            <v>KMXKM</v>
          </cell>
          <cell r="D943">
            <v>3.93</v>
          </cell>
        </row>
        <row r="944">
          <cell r="A944" t="str">
            <v>093007</v>
          </cell>
          <cell r="B944" t="str">
            <v>TUBOS E PECAS, DIAMETRO 300 MM</v>
          </cell>
          <cell r="C944" t="str">
            <v>KMXKM</v>
          </cell>
          <cell r="D944">
            <v>4.88</v>
          </cell>
        </row>
        <row r="945">
          <cell r="A945" t="str">
            <v>093008</v>
          </cell>
          <cell r="B945" t="str">
            <v>TUBOS E PECAS, DIAMETRO 350 MM</v>
          </cell>
          <cell r="C945" t="str">
            <v>KMXKM</v>
          </cell>
          <cell r="D945">
            <v>5.89</v>
          </cell>
        </row>
        <row r="946">
          <cell r="A946" t="str">
            <v>093009</v>
          </cell>
          <cell r="B946" t="str">
            <v>TUBOS E PECAS, DIAMETRO 400 MM</v>
          </cell>
          <cell r="C946" t="str">
            <v>KMXKM</v>
          </cell>
          <cell r="D946">
            <v>7.38</v>
          </cell>
        </row>
        <row r="948">
          <cell r="A948" t="str">
            <v>093100</v>
          </cell>
          <cell r="B948" t="str">
            <v>CARGA, TRANSPORTE E  DESCARGA DE TUBOS E PECAS DE FERRO FUNDIDO</v>
          </cell>
        </row>
        <row r="949">
          <cell r="A949" t="str">
            <v>093101</v>
          </cell>
          <cell r="B949" t="str">
            <v>CARGA E DESCARGA</v>
          </cell>
          <cell r="C949" t="str">
            <v>T</v>
          </cell>
          <cell r="D949">
            <v>28.04</v>
          </cell>
        </row>
        <row r="950">
          <cell r="A950" t="str">
            <v>093102</v>
          </cell>
          <cell r="B950" t="str">
            <v>TRANSPORTE</v>
          </cell>
          <cell r="C950" t="str">
            <v>TXKM</v>
          </cell>
          <cell r="D950">
            <v>1.05</v>
          </cell>
        </row>
        <row r="952">
          <cell r="A952" t="str">
            <v>093200</v>
          </cell>
          <cell r="B952" t="str">
            <v>CARGA, TRANSPORTE ATE 10 KM E DESCARGA DE TUBOS E PECAS DE FIBRO CIMENTO</v>
          </cell>
        </row>
        <row r="953">
          <cell r="A953" t="str">
            <v>093201</v>
          </cell>
          <cell r="B953" t="str">
            <v>TUBOS E PECAS, DIAMETRO 50 MM</v>
          </cell>
          <cell r="C953" t="str">
            <v>KM</v>
          </cell>
          <cell r="D953">
            <v>261.22000000000003</v>
          </cell>
        </row>
        <row r="954">
          <cell r="A954" t="str">
            <v>093202</v>
          </cell>
          <cell r="B954" t="str">
            <v>TUBOS E PECAS, DIAMETRO 75MM</v>
          </cell>
          <cell r="C954" t="str">
            <v>KM</v>
          </cell>
          <cell r="D954">
            <v>273.18</v>
          </cell>
        </row>
        <row r="955">
          <cell r="A955" t="str">
            <v>093203</v>
          </cell>
          <cell r="B955" t="str">
            <v>TUBOS E PECAS, DIAMETRO 100 MM</v>
          </cell>
          <cell r="C955" t="str">
            <v>KM</v>
          </cell>
          <cell r="D955">
            <v>318.27999999999997</v>
          </cell>
        </row>
        <row r="956">
          <cell r="A956" t="str">
            <v>093204</v>
          </cell>
          <cell r="B956" t="str">
            <v>TUBOS E PECAS, DIAMETRO 150 MM</v>
          </cell>
          <cell r="C956" t="str">
            <v>KM</v>
          </cell>
          <cell r="D956">
            <v>447.58</v>
          </cell>
        </row>
        <row r="957">
          <cell r="A957" t="str">
            <v>093205</v>
          </cell>
          <cell r="B957" t="str">
            <v>TUBOS E PECAS, DIAMETRO 175 MM</v>
          </cell>
          <cell r="C957" t="str">
            <v>KM</v>
          </cell>
          <cell r="D957">
            <v>546.32000000000005</v>
          </cell>
        </row>
        <row r="958">
          <cell r="A958" t="str">
            <v>093206</v>
          </cell>
          <cell r="B958" t="str">
            <v>TUBOS E PECAS, DIAMETRO 200 MM</v>
          </cell>
          <cell r="C958" t="str">
            <v>KM</v>
          </cell>
          <cell r="D958">
            <v>641.76</v>
          </cell>
        </row>
        <row r="959">
          <cell r="A959" t="str">
            <v>093207</v>
          </cell>
          <cell r="B959" t="str">
            <v>TUBOS E PECAS, DIAMETRO 250 MM</v>
          </cell>
          <cell r="C959" t="str">
            <v>KM</v>
          </cell>
          <cell r="D959">
            <v>1119.27</v>
          </cell>
        </row>
        <row r="960">
          <cell r="A960" t="str">
            <v>093208</v>
          </cell>
          <cell r="B960" t="str">
            <v>TUBOS E PECAS, DIAMETRO 300 MM</v>
          </cell>
          <cell r="C960" t="str">
            <v>KM</v>
          </cell>
          <cell r="D960">
            <v>1372.67</v>
          </cell>
        </row>
        <row r="961">
          <cell r="A961" t="str">
            <v>093209</v>
          </cell>
          <cell r="B961" t="str">
            <v>TUBOS E PECAS, DIAMETRO 350 MM</v>
          </cell>
          <cell r="C961" t="str">
            <v>KM</v>
          </cell>
          <cell r="D961">
            <v>2024.52</v>
          </cell>
        </row>
        <row r="962">
          <cell r="A962" t="str">
            <v>093210</v>
          </cell>
          <cell r="B962" t="str">
            <v>TUBOS E PECAS, DIAMETRO 400 MM</v>
          </cell>
          <cell r="C962" t="str">
            <v>KM</v>
          </cell>
          <cell r="D962">
            <v>2688.31</v>
          </cell>
        </row>
        <row r="963">
          <cell r="A963" t="str">
            <v>093211</v>
          </cell>
          <cell r="B963" t="str">
            <v>TUBOS E PECAS, DIAMETRO 450 MM</v>
          </cell>
          <cell r="C963" t="str">
            <v>KM</v>
          </cell>
          <cell r="D963">
            <v>3300.7</v>
          </cell>
        </row>
        <row r="965">
          <cell r="A965" t="str">
            <v>093300</v>
          </cell>
          <cell r="B965" t="str">
            <v>TRANSPORTE EXCEDENTE A 10 KM DE TUBOS E PECAS DE FIBRO CIMENTO</v>
          </cell>
        </row>
        <row r="966">
          <cell r="A966" t="str">
            <v>093301</v>
          </cell>
          <cell r="B966" t="str">
            <v>TUBOS E PECAS, DIAMETRO  50 MM</v>
          </cell>
          <cell r="C966" t="str">
            <v>KMXKM</v>
          </cell>
          <cell r="D966">
            <v>2.93</v>
          </cell>
        </row>
        <row r="967">
          <cell r="A967" t="str">
            <v>093302</v>
          </cell>
          <cell r="B967" t="str">
            <v>TUBOS E PECAS, DIAMETRO  75 MM</v>
          </cell>
          <cell r="C967" t="str">
            <v>KMXKM</v>
          </cell>
          <cell r="D967">
            <v>3.07</v>
          </cell>
        </row>
        <row r="968">
          <cell r="A968" t="str">
            <v>093303</v>
          </cell>
          <cell r="B968" t="str">
            <v>TUBOS E PECAS, DIAMETRO 100 MM</v>
          </cell>
          <cell r="C968" t="str">
            <v>KMXKM</v>
          </cell>
          <cell r="D968">
            <v>3.28</v>
          </cell>
        </row>
        <row r="969">
          <cell r="A969" t="str">
            <v>093304</v>
          </cell>
          <cell r="B969" t="str">
            <v>TUBOS E PECAS, DIAMETRO 150 MM</v>
          </cell>
          <cell r="C969" t="str">
            <v>KMXKM</v>
          </cell>
          <cell r="D969">
            <v>3.68</v>
          </cell>
        </row>
        <row r="970">
          <cell r="A970" t="str">
            <v>093305</v>
          </cell>
          <cell r="B970" t="str">
            <v>TUBOS E PECAS, DIAMETRO 175 MM</v>
          </cell>
          <cell r="C970" t="str">
            <v>KMXKM</v>
          </cell>
          <cell r="D970">
            <v>3.93</v>
          </cell>
        </row>
        <row r="971">
          <cell r="A971" t="str">
            <v>093306</v>
          </cell>
          <cell r="B971" t="str">
            <v>TUBOS E PECAS, DIAMETRO 200 MM</v>
          </cell>
          <cell r="C971" t="str">
            <v>KMXKM</v>
          </cell>
          <cell r="D971">
            <v>4.88</v>
          </cell>
        </row>
        <row r="972">
          <cell r="A972" t="str">
            <v>093307</v>
          </cell>
          <cell r="B972" t="str">
            <v>TUBOS E PECAS, DIAMETRO 250 MM</v>
          </cell>
          <cell r="C972" t="str">
            <v>KMXKM</v>
          </cell>
          <cell r="D972">
            <v>5.89</v>
          </cell>
        </row>
        <row r="973">
          <cell r="A973" t="str">
            <v>093308</v>
          </cell>
          <cell r="B973" t="str">
            <v>TUBOS E PECAS, DIAMETRO 300 MM</v>
          </cell>
          <cell r="C973" t="str">
            <v>KMXKM</v>
          </cell>
          <cell r="D973">
            <v>7.38</v>
          </cell>
        </row>
        <row r="974">
          <cell r="A974" t="str">
            <v>093309</v>
          </cell>
          <cell r="B974" t="str">
            <v>TUBOS E PECAS, DIAMETRO 350 MM</v>
          </cell>
          <cell r="C974" t="str">
            <v>KMXKM</v>
          </cell>
          <cell r="D974">
            <v>9.8800000000000008</v>
          </cell>
        </row>
        <row r="975">
          <cell r="A975" t="str">
            <v>093310</v>
          </cell>
          <cell r="B975" t="str">
            <v>TUBOS E PECAS, DIAMETRO 400 MM</v>
          </cell>
          <cell r="C975" t="str">
            <v>KMXKM</v>
          </cell>
          <cell r="D975">
            <v>11.81</v>
          </cell>
        </row>
        <row r="976">
          <cell r="A976" t="str">
            <v>093311</v>
          </cell>
          <cell r="B976" t="str">
            <v>TUBOS E PECAS, DIAMETRO 450 MM</v>
          </cell>
          <cell r="C976" t="str">
            <v>KMXKM</v>
          </cell>
          <cell r="D976">
            <v>14.8</v>
          </cell>
        </row>
        <row r="978">
          <cell r="A978" t="str">
            <v>093400</v>
          </cell>
          <cell r="B978" t="str">
            <v>CARGA, TRANSPORTE ATE 10 KM E DESCARGA DE TUBOS E PECAS DE CERAMICA</v>
          </cell>
        </row>
        <row r="979">
          <cell r="A979" t="str">
            <v>093401</v>
          </cell>
          <cell r="B979" t="str">
            <v>TUBOS E PECAS, DIAMETRO 100 MM</v>
          </cell>
          <cell r="C979" t="str">
            <v>KM</v>
          </cell>
          <cell r="D979">
            <v>351.43</v>
          </cell>
        </row>
        <row r="980">
          <cell r="A980" t="str">
            <v>093402</v>
          </cell>
          <cell r="B980" t="str">
            <v>TUBOS E PECAS, DIAMETRO 150 MM</v>
          </cell>
          <cell r="C980" t="str">
            <v>KM</v>
          </cell>
          <cell r="D980">
            <v>497.31</v>
          </cell>
        </row>
        <row r="981">
          <cell r="A981" t="str">
            <v>093403</v>
          </cell>
          <cell r="B981" t="str">
            <v>TUBOS E PECAS, DIAMETRO 200 MM</v>
          </cell>
          <cell r="C981" t="str">
            <v>KM</v>
          </cell>
          <cell r="D981">
            <v>712.72</v>
          </cell>
        </row>
        <row r="982">
          <cell r="A982" t="str">
            <v>093404</v>
          </cell>
          <cell r="B982" t="str">
            <v>TUBOS E PECAS, DIAMETRO 250 MM</v>
          </cell>
          <cell r="C982" t="str">
            <v>KM</v>
          </cell>
          <cell r="D982">
            <v>1243.29</v>
          </cell>
        </row>
        <row r="983">
          <cell r="A983" t="str">
            <v>093405</v>
          </cell>
          <cell r="B983" t="str">
            <v>TUBOS E PECAS, DIAMETRO 300 MM</v>
          </cell>
          <cell r="C983" t="str">
            <v>KM</v>
          </cell>
          <cell r="D983">
            <v>1525.2</v>
          </cell>
        </row>
        <row r="984">
          <cell r="A984" t="str">
            <v>093406</v>
          </cell>
          <cell r="B984" t="str">
            <v>TUBOS E PECAS, DIAMETRO 375 MM</v>
          </cell>
          <cell r="C984" t="str">
            <v>KM</v>
          </cell>
          <cell r="D984">
            <v>2503.21</v>
          </cell>
        </row>
        <row r="985">
          <cell r="A985" t="str">
            <v>093407</v>
          </cell>
          <cell r="B985" t="str">
            <v>TUBOS E PECAS, DIAMETRO 450 MM</v>
          </cell>
          <cell r="C985" t="str">
            <v>KM</v>
          </cell>
          <cell r="D985">
            <v>3666.73</v>
          </cell>
        </row>
        <row r="987">
          <cell r="A987" t="str">
            <v>093500</v>
          </cell>
          <cell r="B987" t="str">
            <v>TRANSPORTE EXCEDENTE A 10 KM DE TUBOS E PECAS DE CERAMICA</v>
          </cell>
        </row>
        <row r="988">
          <cell r="A988" t="str">
            <v>093501</v>
          </cell>
          <cell r="B988" t="str">
            <v>TUBOS E PECAS, DIAMETRO 100 MM</v>
          </cell>
          <cell r="C988" t="str">
            <v>KMXKM</v>
          </cell>
          <cell r="D988">
            <v>5.24</v>
          </cell>
        </row>
        <row r="989">
          <cell r="A989" t="str">
            <v>093502</v>
          </cell>
          <cell r="B989" t="str">
            <v>TUBOS E PECAS, DIAMETRO 150 MM</v>
          </cell>
          <cell r="C989" t="str">
            <v>KMXKM</v>
          </cell>
          <cell r="D989">
            <v>6.55</v>
          </cell>
        </row>
        <row r="990">
          <cell r="A990" t="str">
            <v>093503</v>
          </cell>
          <cell r="B990" t="str">
            <v>TUBOS E PECAS, DIAMETRO 200 MM</v>
          </cell>
          <cell r="C990" t="str">
            <v>KMXKM</v>
          </cell>
          <cell r="D990">
            <v>7.87</v>
          </cell>
        </row>
        <row r="991">
          <cell r="A991" t="str">
            <v>093504</v>
          </cell>
          <cell r="B991" t="str">
            <v>TUBOS E PECAS, DIAMETRO 250 MM</v>
          </cell>
          <cell r="C991" t="str">
            <v>KMXKM</v>
          </cell>
          <cell r="D991">
            <v>9.8800000000000008</v>
          </cell>
        </row>
        <row r="992">
          <cell r="A992" t="str">
            <v>093505</v>
          </cell>
          <cell r="B992" t="str">
            <v>TUBOS E PECAS, DIAMETRO 300 MM</v>
          </cell>
          <cell r="C992" t="str">
            <v>KMXKM</v>
          </cell>
          <cell r="D992">
            <v>13.12</v>
          </cell>
        </row>
        <row r="993">
          <cell r="A993" t="str">
            <v>093506</v>
          </cell>
          <cell r="B993" t="str">
            <v>TUBOS E PECAS, DIAMETRO 375 MM</v>
          </cell>
          <cell r="C993" t="str">
            <v>KMXKM</v>
          </cell>
          <cell r="D993">
            <v>15.76</v>
          </cell>
        </row>
        <row r="994">
          <cell r="A994" t="str">
            <v>093507</v>
          </cell>
          <cell r="B994" t="str">
            <v>TUBOS E PECAS, DIAMETRO 450 MM</v>
          </cell>
          <cell r="C994" t="str">
            <v>KMXKM</v>
          </cell>
          <cell r="D994">
            <v>19.690000000000001</v>
          </cell>
        </row>
        <row r="996">
          <cell r="A996" t="str">
            <v>093600</v>
          </cell>
          <cell r="B996" t="str">
            <v>CARGA, TRANSPORTE E  DESCARGA DE TUBOS DE CONCRETO</v>
          </cell>
        </row>
        <row r="997">
          <cell r="A997" t="str">
            <v>093601</v>
          </cell>
          <cell r="B997" t="str">
            <v>CARGA E DESCARGA</v>
          </cell>
          <cell r="C997" t="str">
            <v>T</v>
          </cell>
          <cell r="D997">
            <v>31.2</v>
          </cell>
        </row>
        <row r="998">
          <cell r="A998" t="str">
            <v>093602</v>
          </cell>
          <cell r="B998" t="str">
            <v>TRANSPORTE</v>
          </cell>
          <cell r="C998" t="str">
            <v>TXKM</v>
          </cell>
          <cell r="D998">
            <v>1.05</v>
          </cell>
        </row>
        <row r="1000">
          <cell r="A1000" t="str">
            <v>093700</v>
          </cell>
          <cell r="B1000" t="str">
            <v>CARGA, TRANSPORTE E DESCARGA DE TUBOS E PECAS DE ACO</v>
          </cell>
        </row>
        <row r="1001">
          <cell r="A1001" t="str">
            <v>093701</v>
          </cell>
          <cell r="B1001" t="str">
            <v>CARGA E DESCARGA</v>
          </cell>
          <cell r="C1001" t="str">
            <v>T</v>
          </cell>
          <cell r="D1001">
            <v>28.66</v>
          </cell>
        </row>
        <row r="1002">
          <cell r="A1002" t="str">
            <v>093702</v>
          </cell>
          <cell r="B1002" t="str">
            <v>TRANSPORTE</v>
          </cell>
          <cell r="C1002" t="str">
            <v>TXKM</v>
          </cell>
          <cell r="D1002">
            <v>1.05</v>
          </cell>
        </row>
        <row r="1004">
          <cell r="A1004" t="str">
            <v>100000</v>
          </cell>
          <cell r="B1004" t="str">
            <v>PAVIMENTACAO</v>
          </cell>
        </row>
        <row r="1005">
          <cell r="A1005" t="str">
            <v>100100</v>
          </cell>
          <cell r="B1005" t="str">
            <v>LEVANTAMENTO DE PAVIMENTACAO</v>
          </cell>
        </row>
        <row r="1006">
          <cell r="A1006" t="str">
            <v>100101</v>
          </cell>
          <cell r="B1006" t="str">
            <v>LEVANTAMENTO DE PAVIMENTACAO ASFALTICA (A)</v>
          </cell>
          <cell r="C1006" t="str">
            <v>M2</v>
          </cell>
          <cell r="D1006">
            <v>8.19</v>
          </cell>
        </row>
        <row r="1007">
          <cell r="A1007" t="str">
            <v>100102</v>
          </cell>
          <cell r="B1007" t="str">
            <v>LEVANTAMENTO DE PAVIMENTACAO PARALELEPIPEDO OU BLOCO (A)</v>
          </cell>
          <cell r="C1007" t="str">
            <v>M2</v>
          </cell>
          <cell r="D1007">
            <v>6.45</v>
          </cell>
        </row>
        <row r="1008">
          <cell r="A1008" t="str">
            <v>100103</v>
          </cell>
          <cell r="B1008" t="str">
            <v>LEVANTAMENTO DE PASSEIOS CIMENTADOS (A)</v>
          </cell>
          <cell r="C1008" t="str">
            <v>M2</v>
          </cell>
          <cell r="D1008">
            <v>5</v>
          </cell>
        </row>
        <row r="1009">
          <cell r="A1009" t="str">
            <v>100104</v>
          </cell>
          <cell r="B1009" t="str">
            <v>LEVANTAMENTO DE PASSEIOS EM LADRILHOS (A)</v>
          </cell>
          <cell r="C1009" t="str">
            <v>M2</v>
          </cell>
          <cell r="D1009">
            <v>5.77</v>
          </cell>
        </row>
        <row r="1010">
          <cell r="A1010" t="str">
            <v>100105</v>
          </cell>
          <cell r="B1010" t="str">
            <v>LEVANTAMENTO DE PASSEIOS EM MOSAICO (A)</v>
          </cell>
          <cell r="C1010" t="str">
            <v>M2</v>
          </cell>
          <cell r="D1010">
            <v>6.45</v>
          </cell>
        </row>
        <row r="1011">
          <cell r="A1011" t="str">
            <v>100106</v>
          </cell>
          <cell r="B1011" t="str">
            <v>LEVANTAMENTO DE SARJETAS (A)</v>
          </cell>
          <cell r="C1011" t="str">
            <v>M3</v>
          </cell>
          <cell r="D1011">
            <v>34.869999999999997</v>
          </cell>
        </row>
        <row r="1012">
          <cell r="A1012" t="str">
            <v>100107</v>
          </cell>
          <cell r="B1012" t="str">
            <v>LEVANTAMENTO DE GUIAS (A)</v>
          </cell>
          <cell r="C1012" t="str">
            <v>M</v>
          </cell>
          <cell r="D1012">
            <v>6.45</v>
          </cell>
        </row>
        <row r="1013">
          <cell r="A1013" t="str">
            <v>100131</v>
          </cell>
          <cell r="B1013" t="str">
            <v>LEVANTAMENTO DE PAVIMENTACAO ASFALTICA (B)</v>
          </cell>
          <cell r="C1013" t="str">
            <v>M2</v>
          </cell>
          <cell r="D1013">
            <v>6.55</v>
          </cell>
        </row>
        <row r="1014">
          <cell r="A1014" t="str">
            <v>100132</v>
          </cell>
          <cell r="B1014" t="str">
            <v>LEVANTAMENTO DE PAVIMENTACAO PARALELEPIPEDO OU BLOCO (B)</v>
          </cell>
          <cell r="C1014" t="str">
            <v>M2</v>
          </cell>
          <cell r="D1014">
            <v>5.12</v>
          </cell>
        </row>
        <row r="1015">
          <cell r="A1015" t="str">
            <v>100133</v>
          </cell>
          <cell r="B1015" t="str">
            <v>LEVANTAMENTO DE PASSEIOS CIMENTADOS (B)</v>
          </cell>
          <cell r="C1015" t="str">
            <v>M2</v>
          </cell>
          <cell r="D1015">
            <v>3.99</v>
          </cell>
        </row>
        <row r="1016">
          <cell r="A1016" t="str">
            <v>100134</v>
          </cell>
          <cell r="B1016" t="str">
            <v>LEVANTAMENTO DE PASSEIOS EM LADRILHOS (B)</v>
          </cell>
          <cell r="C1016" t="str">
            <v>M2</v>
          </cell>
          <cell r="D1016">
            <v>4.6100000000000003</v>
          </cell>
        </row>
        <row r="1017">
          <cell r="A1017" t="str">
            <v>100135</v>
          </cell>
          <cell r="B1017" t="str">
            <v>LEVANTAMENTO DE PASSEIOS EM MOSAICO (B)</v>
          </cell>
          <cell r="C1017" t="str">
            <v>M2</v>
          </cell>
          <cell r="D1017">
            <v>5.12</v>
          </cell>
        </row>
        <row r="1018">
          <cell r="A1018" t="str">
            <v>100136</v>
          </cell>
          <cell r="B1018" t="str">
            <v>LEVANTAMENTO DE SARJETAS (B)</v>
          </cell>
          <cell r="C1018" t="str">
            <v>M3</v>
          </cell>
          <cell r="D1018">
            <v>27.89</v>
          </cell>
        </row>
        <row r="1019">
          <cell r="A1019" t="str">
            <v>100137</v>
          </cell>
          <cell r="B1019" t="str">
            <v>LEVANTAMENTO DE GUIAS (B)</v>
          </cell>
          <cell r="C1019" t="str">
            <v>M</v>
          </cell>
          <cell r="D1019">
            <v>5.12</v>
          </cell>
        </row>
        <row r="1020">
          <cell r="A1020" t="str">
            <v>100151</v>
          </cell>
          <cell r="B1020" t="str">
            <v>LEVANTAMENTO DE PAVIMENTACAO ASFALTICA (C)</v>
          </cell>
          <cell r="C1020" t="str">
            <v>M2</v>
          </cell>
          <cell r="D1020">
            <v>4.08</v>
          </cell>
        </row>
        <row r="1021">
          <cell r="A1021" t="str">
            <v>100152</v>
          </cell>
          <cell r="B1021" t="str">
            <v>LEVANTAMENTO DE PAVIMENTACAO PARALELEPIPEDO OU BLOCO (C)</v>
          </cell>
          <cell r="C1021" t="str">
            <v>M2</v>
          </cell>
          <cell r="D1021">
            <v>3.2</v>
          </cell>
        </row>
        <row r="1022">
          <cell r="A1022" t="str">
            <v>100153</v>
          </cell>
          <cell r="B1022" t="str">
            <v>LEVANTAMENTO DE PASSEIOS CIMENTADOS (C)</v>
          </cell>
          <cell r="C1022" t="str">
            <v>M2</v>
          </cell>
          <cell r="D1022">
            <v>2.48</v>
          </cell>
        </row>
        <row r="1023">
          <cell r="A1023" t="str">
            <v>100154</v>
          </cell>
          <cell r="B1023" t="str">
            <v>LEVANTAMENTO DE PASSEIOS EM LADRILHOS (C)</v>
          </cell>
          <cell r="C1023" t="str">
            <v>M2</v>
          </cell>
          <cell r="D1023">
            <v>2.87</v>
          </cell>
        </row>
        <row r="1024">
          <cell r="A1024" t="str">
            <v>100155</v>
          </cell>
          <cell r="B1024" t="str">
            <v>LEVANTAMENTO DE PASSEIOS EM MOSAICO (C)</v>
          </cell>
          <cell r="C1024" t="str">
            <v>M2</v>
          </cell>
          <cell r="D1024">
            <v>3.2</v>
          </cell>
        </row>
        <row r="1025">
          <cell r="A1025" t="str">
            <v>100156</v>
          </cell>
          <cell r="B1025" t="str">
            <v>LEVANTAMENTO DE SARJETAS (C)</v>
          </cell>
          <cell r="C1025" t="str">
            <v>M3</v>
          </cell>
          <cell r="D1025">
            <v>17.399999999999999</v>
          </cell>
        </row>
        <row r="1026">
          <cell r="A1026" t="str">
            <v>100157</v>
          </cell>
          <cell r="B1026" t="str">
            <v>LEVANTAMENTO DE GUIAS (B)</v>
          </cell>
          <cell r="C1026" t="str">
            <v>M</v>
          </cell>
          <cell r="D1026">
            <v>3.2</v>
          </cell>
        </row>
        <row r="1028">
          <cell r="A1028" t="str">
            <v>100200</v>
          </cell>
          <cell r="B1028" t="str">
            <v>REGULARIZACAO E REVESTIMENTO</v>
          </cell>
        </row>
        <row r="1029">
          <cell r="A1029" t="str">
            <v>100201</v>
          </cell>
          <cell r="B1029" t="str">
            <v>REGULARIZACAO MECANIZADA DE SUPERFICIES (A)</v>
          </cell>
          <cell r="C1029" t="str">
            <v>M2</v>
          </cell>
          <cell r="D1029">
            <v>0.3</v>
          </cell>
        </row>
        <row r="1030">
          <cell r="A1030" t="str">
            <v>100202</v>
          </cell>
          <cell r="B1030" t="str">
            <v>REVESTIMENTO COM CASCALHO OU PEDREGULHO (A)</v>
          </cell>
          <cell r="C1030" t="str">
            <v>M3</v>
          </cell>
          <cell r="D1030">
            <v>44.84</v>
          </cell>
        </row>
        <row r="1031">
          <cell r="A1031" t="str">
            <v>100203</v>
          </cell>
          <cell r="B1031" t="str">
            <v>REVESTIMENTO COM BRITA (A)</v>
          </cell>
          <cell r="C1031" t="str">
            <v>M3</v>
          </cell>
          <cell r="D1031">
            <v>44.04</v>
          </cell>
        </row>
        <row r="1032">
          <cell r="A1032" t="str">
            <v>100204</v>
          </cell>
          <cell r="B1032" t="str">
            <v>REVESTIMENTO COM MACADAME HIDRAULICO (A)</v>
          </cell>
          <cell r="C1032" t="str">
            <v>M3</v>
          </cell>
          <cell r="D1032">
            <v>55.75</v>
          </cell>
        </row>
        <row r="1033">
          <cell r="A1033" t="str">
            <v>100231</v>
          </cell>
          <cell r="B1033" t="str">
            <v>REGULARIZACAO MECANIZADA DE SUPERFICIES (B)</v>
          </cell>
          <cell r="C1033" t="str">
            <v>M2</v>
          </cell>
          <cell r="D1033">
            <v>0.23</v>
          </cell>
        </row>
        <row r="1034">
          <cell r="A1034" t="str">
            <v>100232</v>
          </cell>
          <cell r="B1034" t="str">
            <v>REVESTIMENTO COM CASCALHO OU PEDREGULHO (B)</v>
          </cell>
          <cell r="C1034" t="str">
            <v>M3</v>
          </cell>
          <cell r="D1034">
            <v>44.16</v>
          </cell>
        </row>
        <row r="1035">
          <cell r="A1035" t="str">
            <v>100233</v>
          </cell>
          <cell r="B1035" t="str">
            <v>REVESTIMENTO COM BRITA (B)</v>
          </cell>
          <cell r="C1035" t="str">
            <v>M3</v>
          </cell>
          <cell r="D1035">
            <v>43.37</v>
          </cell>
        </row>
        <row r="1036">
          <cell r="A1036" t="str">
            <v>100234</v>
          </cell>
          <cell r="B1036" t="str">
            <v>REVESTIMENTO COM MACADAME HIDRAULICO (B)</v>
          </cell>
          <cell r="C1036" t="str">
            <v>M3</v>
          </cell>
          <cell r="D1036">
            <v>55.07</v>
          </cell>
        </row>
        <row r="1037">
          <cell r="A1037" t="str">
            <v>100251</v>
          </cell>
          <cell r="B1037" t="str">
            <v>REGULARIZACAO MECANIZADA DE SUPERFICIES (C)</v>
          </cell>
          <cell r="C1037" t="str">
            <v>M2</v>
          </cell>
          <cell r="D1037">
            <v>0.14000000000000001</v>
          </cell>
        </row>
        <row r="1038">
          <cell r="A1038" t="str">
            <v>100252</v>
          </cell>
          <cell r="B1038" t="str">
            <v>REVESTIMENTO COM CASCALHO OU PEDREGULHO (C)</v>
          </cell>
          <cell r="C1038" t="str">
            <v>M3</v>
          </cell>
          <cell r="D1038">
            <v>43.17</v>
          </cell>
        </row>
        <row r="1039">
          <cell r="A1039" t="str">
            <v>100253</v>
          </cell>
          <cell r="B1039" t="str">
            <v>REVESTIMENTO COM BRITA (C)</v>
          </cell>
          <cell r="C1039" t="str">
            <v>M3</v>
          </cell>
          <cell r="D1039">
            <v>42.37</v>
          </cell>
        </row>
        <row r="1040">
          <cell r="A1040" t="str">
            <v>100254</v>
          </cell>
          <cell r="B1040" t="str">
            <v>REVESTIMENTO COM MACADAME HIDRAULICO (C)</v>
          </cell>
          <cell r="C1040" t="str">
            <v>M3</v>
          </cell>
          <cell r="D1040">
            <v>54.07</v>
          </cell>
        </row>
        <row r="1042">
          <cell r="A1042" t="str">
            <v>100300</v>
          </cell>
          <cell r="B1042" t="str">
            <v>EXECUCAO DE PAVIMENTACAO</v>
          </cell>
        </row>
        <row r="1043">
          <cell r="A1043" t="str">
            <v>100301</v>
          </cell>
          <cell r="B1043" t="str">
            <v>ASSENTAMENTO DE PARALELEPIPEDO (A)</v>
          </cell>
          <cell r="C1043" t="str">
            <v>M2</v>
          </cell>
          <cell r="D1043">
            <v>27.73</v>
          </cell>
        </row>
        <row r="1044">
          <cell r="A1044" t="str">
            <v>100302</v>
          </cell>
          <cell r="B1044" t="str">
            <v>FORNECIMENTO DE PARALELEPIPEDO</v>
          </cell>
          <cell r="C1044" t="str">
            <v>M2</v>
          </cell>
          <cell r="D1044">
            <v>27.11</v>
          </cell>
        </row>
        <row r="1045">
          <cell r="A1045" t="str">
            <v>100303</v>
          </cell>
          <cell r="B1045" t="str">
            <v>ASSENTAMENTO DE BLOCOS DE CONCRETO (A)</v>
          </cell>
          <cell r="C1045" t="str">
            <v>M2</v>
          </cell>
          <cell r="D1045">
            <v>22.26</v>
          </cell>
        </row>
        <row r="1046">
          <cell r="A1046" t="str">
            <v>100304</v>
          </cell>
          <cell r="B1046" t="str">
            <v>FORNECIMENTO DE BLOCOS DE CONCRETO</v>
          </cell>
          <cell r="C1046" t="str">
            <v>M2</v>
          </cell>
          <cell r="D1046">
            <v>39.159999999999997</v>
          </cell>
        </row>
        <row r="1047">
          <cell r="A1047" t="str">
            <v>100305</v>
          </cell>
          <cell r="B1047" t="str">
            <v>EXECUCAO DE PASSEIOS CIMENTADOS (A)</v>
          </cell>
          <cell r="C1047" t="str">
            <v>M2</v>
          </cell>
          <cell r="D1047">
            <v>34.71</v>
          </cell>
        </row>
        <row r="1048">
          <cell r="A1048" t="str">
            <v>100306</v>
          </cell>
          <cell r="B1048" t="str">
            <v>EXECUCAO DE PASSEIOS EM LADRILHOS HIDRAULICOS (A)</v>
          </cell>
          <cell r="C1048" t="str">
            <v>M2</v>
          </cell>
          <cell r="D1048">
            <v>24.57</v>
          </cell>
        </row>
        <row r="1049">
          <cell r="A1049" t="str">
            <v>100307</v>
          </cell>
          <cell r="B1049" t="str">
            <v>FORNECIMENTO DE LADRILHOS HIDRAULICOS</v>
          </cell>
          <cell r="C1049" t="str">
            <v>M2</v>
          </cell>
          <cell r="D1049">
            <v>18.510000000000002</v>
          </cell>
        </row>
        <row r="1050">
          <cell r="A1050" t="str">
            <v>100308</v>
          </cell>
          <cell r="B1050" t="str">
            <v>EXECUCAO DE PASSEIOS EM MOSAICOS (A)</v>
          </cell>
          <cell r="C1050" t="str">
            <v>M2</v>
          </cell>
          <cell r="D1050">
            <v>13.27</v>
          </cell>
        </row>
        <row r="1051">
          <cell r="A1051" t="str">
            <v>100309</v>
          </cell>
          <cell r="B1051" t="str">
            <v>FORNECIMENTO DE MOSAICOS</v>
          </cell>
          <cell r="C1051" t="str">
            <v>M2</v>
          </cell>
          <cell r="D1051">
            <v>26.12</v>
          </cell>
        </row>
        <row r="1052">
          <cell r="A1052" t="str">
            <v>100310</v>
          </cell>
          <cell r="B1052" t="str">
            <v>ASSENTAMENTO DE GUIAS (A)</v>
          </cell>
          <cell r="C1052" t="str">
            <v>M</v>
          </cell>
          <cell r="D1052">
            <v>4.9000000000000004</v>
          </cell>
        </row>
        <row r="1053">
          <cell r="A1053" t="str">
            <v>100311</v>
          </cell>
          <cell r="B1053" t="str">
            <v>FORNECIMENTO DE GUIAS</v>
          </cell>
          <cell r="C1053" t="str">
            <v>M</v>
          </cell>
          <cell r="D1053">
            <v>11.3</v>
          </cell>
        </row>
        <row r="1054">
          <cell r="A1054" t="str">
            <v>100312</v>
          </cell>
          <cell r="B1054" t="str">
            <v>CONSTRUCAO DE SARJETAS (A)</v>
          </cell>
          <cell r="C1054" t="str">
            <v>M3</v>
          </cell>
          <cell r="D1054">
            <v>277.18</v>
          </cell>
        </row>
        <row r="1055">
          <cell r="A1055" t="str">
            <v>100331</v>
          </cell>
          <cell r="B1055" t="str">
            <v>ASSENTAMENTO DE PARALELEPIPEDO (B)</v>
          </cell>
          <cell r="C1055" t="str">
            <v>M2</v>
          </cell>
          <cell r="D1055">
            <v>24.53</v>
          </cell>
        </row>
        <row r="1056">
          <cell r="A1056" t="str">
            <v>100333</v>
          </cell>
          <cell r="B1056" t="str">
            <v>ASSENTAMENTO DE BLOCOS DE CONCRETO (B)</v>
          </cell>
          <cell r="C1056" t="str">
            <v>M2</v>
          </cell>
          <cell r="D1056">
            <v>19.2</v>
          </cell>
        </row>
        <row r="1057">
          <cell r="A1057" t="str">
            <v>100335</v>
          </cell>
          <cell r="B1057" t="str">
            <v>ASSENTAMENTO DE PASSEIOS CIMENTADOS (B)</v>
          </cell>
          <cell r="C1057" t="str">
            <v>M2</v>
          </cell>
          <cell r="D1057">
            <v>31.5</v>
          </cell>
        </row>
        <row r="1058">
          <cell r="A1058" t="str">
            <v>100336</v>
          </cell>
          <cell r="B1058" t="str">
            <v>EXECUCAO DE PASSEIOS EM LADRILHOS HIDRAULICOS (B)</v>
          </cell>
          <cell r="C1058" t="str">
            <v>M2</v>
          </cell>
          <cell r="D1058">
            <v>22.62</v>
          </cell>
        </row>
        <row r="1059">
          <cell r="A1059" t="str">
            <v>100338</v>
          </cell>
          <cell r="B1059" t="str">
            <v>EXECUCAO DE PASSEIOS EM MOSAICO (B)</v>
          </cell>
          <cell r="C1059" t="str">
            <v>M2</v>
          </cell>
          <cell r="D1059">
            <v>11.94</v>
          </cell>
        </row>
        <row r="1060">
          <cell r="A1060" t="str">
            <v>100340</v>
          </cell>
          <cell r="B1060" t="str">
            <v>ASSENTAMENTO DE GUIAS (B)</v>
          </cell>
          <cell r="C1060" t="str">
            <v>M</v>
          </cell>
          <cell r="D1060">
            <v>4.68</v>
          </cell>
        </row>
        <row r="1061">
          <cell r="A1061" t="str">
            <v>100342</v>
          </cell>
          <cell r="B1061" t="str">
            <v>CONSTRUCAO DE SARJETAS (B)</v>
          </cell>
          <cell r="C1061" t="str">
            <v>M3</v>
          </cell>
          <cell r="D1061">
            <v>265.04000000000002</v>
          </cell>
        </row>
        <row r="1062">
          <cell r="A1062" t="str">
            <v>100351</v>
          </cell>
          <cell r="B1062" t="str">
            <v>ASSENTAMENTO DE PARALELEPIPEDO (C)</v>
          </cell>
          <cell r="C1062" t="str">
            <v>M2</v>
          </cell>
          <cell r="D1062">
            <v>19.8</v>
          </cell>
        </row>
        <row r="1063">
          <cell r="A1063" t="str">
            <v>100353</v>
          </cell>
          <cell r="B1063" t="str">
            <v>ASSENTAMENTO DE BLOCOS DE CONCRETO (C)</v>
          </cell>
          <cell r="C1063" t="str">
            <v>M2</v>
          </cell>
          <cell r="D1063">
            <v>14.64</v>
          </cell>
        </row>
        <row r="1064">
          <cell r="A1064" t="str">
            <v>100355</v>
          </cell>
          <cell r="B1064" t="str">
            <v>EXECUCAO DE PASSEIOS CIMENTADOS (C)</v>
          </cell>
          <cell r="C1064" t="str">
            <v>M2</v>
          </cell>
          <cell r="D1064">
            <v>26.75</v>
          </cell>
        </row>
        <row r="1065">
          <cell r="A1065" t="str">
            <v>100356</v>
          </cell>
          <cell r="B1065" t="str">
            <v>EXECUCAO DE PASSEIOS EM LADRILHOS HIDRAULICOS (C)</v>
          </cell>
          <cell r="C1065" t="str">
            <v>M2</v>
          </cell>
          <cell r="D1065">
            <v>19.75</v>
          </cell>
        </row>
        <row r="1066">
          <cell r="A1066" t="str">
            <v>100358</v>
          </cell>
          <cell r="B1066" t="str">
            <v>EXECUCAO DE PASSEIOS EM MOSAICO (C)</v>
          </cell>
          <cell r="C1066" t="str">
            <v>M2</v>
          </cell>
          <cell r="D1066">
            <v>9.9700000000000006</v>
          </cell>
        </row>
        <row r="1067">
          <cell r="A1067" t="str">
            <v>100360</v>
          </cell>
          <cell r="B1067" t="str">
            <v>ASSENTAMENTO DE GUIAS (C)</v>
          </cell>
          <cell r="C1067" t="str">
            <v>M</v>
          </cell>
          <cell r="D1067">
            <v>4.34</v>
          </cell>
        </row>
        <row r="1068">
          <cell r="A1068" t="str">
            <v>100362</v>
          </cell>
          <cell r="B1068" t="str">
            <v>CONSTRUCAO DE SARJETAS (C)</v>
          </cell>
          <cell r="C1068" t="str">
            <v>M3</v>
          </cell>
          <cell r="D1068">
            <v>246.83</v>
          </cell>
        </row>
        <row r="1070">
          <cell r="A1070" t="str">
            <v>100400</v>
          </cell>
          <cell r="B1070" t="str">
            <v>PAVIMENTACAO ASFALTICA ESPECIAL</v>
          </cell>
        </row>
        <row r="1071">
          <cell r="A1071" t="str">
            <v>100401</v>
          </cell>
          <cell r="B1071" t="str">
            <v>PREPARO DE CAIXA (A)</v>
          </cell>
          <cell r="C1071" t="str">
            <v>M2</v>
          </cell>
          <cell r="D1071">
            <v>5.0999999999999996</v>
          </cell>
        </row>
        <row r="1072">
          <cell r="A1072" t="str">
            <v>100402</v>
          </cell>
          <cell r="B1072" t="str">
            <v>SUB BASE EM BRITA GRADUADA OU MACADAME HIDRAULICO (A)</v>
          </cell>
          <cell r="C1072" t="str">
            <v>M3</v>
          </cell>
          <cell r="D1072">
            <v>74.930000000000007</v>
          </cell>
        </row>
        <row r="1073">
          <cell r="A1073" t="str">
            <v>100403</v>
          </cell>
          <cell r="B1073" t="str">
            <v>BASE DE MACADAME BETUMINOSO (A)</v>
          </cell>
          <cell r="C1073" t="str">
            <v>M3</v>
          </cell>
          <cell r="D1073">
            <v>258.11</v>
          </cell>
        </row>
        <row r="1074">
          <cell r="A1074" t="str">
            <v>100404</v>
          </cell>
          <cell r="B1074" t="str">
            <v>IMPRIMACAO LIGANTE (A)</v>
          </cell>
          <cell r="C1074" t="str">
            <v>M2</v>
          </cell>
          <cell r="D1074">
            <v>3.01</v>
          </cell>
        </row>
        <row r="1075">
          <cell r="A1075" t="str">
            <v>100405</v>
          </cell>
          <cell r="B1075" t="str">
            <v>BINDER (A)</v>
          </cell>
          <cell r="C1075" t="str">
            <v>M3</v>
          </cell>
          <cell r="D1075">
            <v>334.17</v>
          </cell>
        </row>
        <row r="1076">
          <cell r="A1076" t="str">
            <v>100406</v>
          </cell>
          <cell r="B1076" t="str">
            <v>CAPA DE CONCRETO ASFALTICO (A)</v>
          </cell>
          <cell r="C1076" t="str">
            <v>M3</v>
          </cell>
          <cell r="D1076">
            <v>478.64</v>
          </cell>
        </row>
        <row r="1077">
          <cell r="A1077" t="str">
            <v>100407</v>
          </cell>
          <cell r="B1077" t="str">
            <v>CONCRETO PARA FECHAMENTO DE VALAS (A)</v>
          </cell>
          <cell r="C1077" t="str">
            <v>M3</v>
          </cell>
          <cell r="D1077">
            <v>209.11</v>
          </cell>
        </row>
        <row r="1078">
          <cell r="A1078" t="str">
            <v>100431</v>
          </cell>
          <cell r="B1078" t="str">
            <v>PREPARO DE CAIXA (B)</v>
          </cell>
          <cell r="C1078" t="str">
            <v>M2</v>
          </cell>
          <cell r="D1078">
            <v>4.0599999999999996</v>
          </cell>
        </row>
        <row r="1079">
          <cell r="A1079" t="str">
            <v>100432</v>
          </cell>
          <cell r="B1079" t="str">
            <v>SUB BASE ME BRITA GRADUADA OU MACADAME HIDRAULICO (B)</v>
          </cell>
          <cell r="C1079" t="str">
            <v>M3</v>
          </cell>
          <cell r="D1079">
            <v>71.27</v>
          </cell>
        </row>
        <row r="1080">
          <cell r="A1080" t="str">
            <v>100433</v>
          </cell>
          <cell r="B1080" t="str">
            <v>BASE DE MACADAME BETUMINOSO (B)</v>
          </cell>
          <cell r="C1080" t="str">
            <v>M3</v>
          </cell>
          <cell r="D1080">
            <v>250.93</v>
          </cell>
        </row>
        <row r="1081">
          <cell r="A1081" t="str">
            <v>100434</v>
          </cell>
          <cell r="B1081" t="str">
            <v>IMPRAMACAO LIGANTE (B)</v>
          </cell>
          <cell r="C1081" t="str">
            <v>M2</v>
          </cell>
          <cell r="D1081">
            <v>2.92</v>
          </cell>
        </row>
        <row r="1082">
          <cell r="A1082" t="str">
            <v>100435</v>
          </cell>
          <cell r="B1082" t="str">
            <v>BINDER (B)</v>
          </cell>
          <cell r="C1082" t="str">
            <v>M3</v>
          </cell>
          <cell r="D1082">
            <v>315.75</v>
          </cell>
        </row>
        <row r="1083">
          <cell r="A1083" t="str">
            <v>100436</v>
          </cell>
          <cell r="B1083" t="str">
            <v>CAPA DE CONCRETO ASFALTICO (B)</v>
          </cell>
          <cell r="C1083" t="str">
            <v>M3</v>
          </cell>
          <cell r="D1083">
            <v>456.04</v>
          </cell>
        </row>
        <row r="1084">
          <cell r="A1084" t="str">
            <v>100437</v>
          </cell>
          <cell r="B1084" t="str">
            <v>CONCRETO PARA FECHAMENTO DE VALAS (B)</v>
          </cell>
          <cell r="C1084" t="str">
            <v>M3</v>
          </cell>
          <cell r="D1084">
            <v>206.09</v>
          </cell>
        </row>
        <row r="1085">
          <cell r="A1085" t="str">
            <v>100451</v>
          </cell>
          <cell r="B1085" t="str">
            <v>PREPARO DE CAIXA (C)</v>
          </cell>
          <cell r="C1085" t="str">
            <v>M2</v>
          </cell>
          <cell r="D1085">
            <v>2.54</v>
          </cell>
        </row>
        <row r="1086">
          <cell r="A1086" t="str">
            <v>100452</v>
          </cell>
          <cell r="B1086" t="str">
            <v>SUB BASE EM BRITA GRADUADA OU MACADAME HIDRAULICO (C)</v>
          </cell>
          <cell r="C1086" t="str">
            <v>M3</v>
          </cell>
          <cell r="D1086">
            <v>65.84</v>
          </cell>
        </row>
        <row r="1087">
          <cell r="A1087" t="str">
            <v>100453</v>
          </cell>
          <cell r="B1087" t="str">
            <v>BASE DE MACADAME BETUMINOSO (C)</v>
          </cell>
          <cell r="C1087" t="str">
            <v>M3</v>
          </cell>
          <cell r="D1087">
            <v>240.14</v>
          </cell>
        </row>
        <row r="1088">
          <cell r="A1088" t="str">
            <v>100454</v>
          </cell>
          <cell r="B1088" t="str">
            <v>IMPRIMACAO LIGANTE (C)</v>
          </cell>
          <cell r="C1088" t="str">
            <v>M2</v>
          </cell>
          <cell r="D1088">
            <v>2.76</v>
          </cell>
        </row>
        <row r="1089">
          <cell r="A1089" t="str">
            <v>100455</v>
          </cell>
          <cell r="B1089" t="str">
            <v>BINDER (C)</v>
          </cell>
          <cell r="C1089" t="str">
            <v>M3</v>
          </cell>
          <cell r="D1089">
            <v>288.02</v>
          </cell>
        </row>
        <row r="1090">
          <cell r="A1090" t="str">
            <v>100456</v>
          </cell>
          <cell r="B1090" t="str">
            <v>CAPA DE CONCRETO ASFALTICO (C)</v>
          </cell>
          <cell r="C1090" t="str">
            <v>M3</v>
          </cell>
          <cell r="D1090">
            <v>422.07</v>
          </cell>
        </row>
        <row r="1091">
          <cell r="A1091" t="str">
            <v>100457</v>
          </cell>
          <cell r="B1091" t="str">
            <v>CONCRETO PARA FECHAMENTO DE VALAS (C)</v>
          </cell>
          <cell r="C1091" t="str">
            <v>M3</v>
          </cell>
          <cell r="D1091">
            <v>201.64</v>
          </cell>
        </row>
        <row r="1093">
          <cell r="A1093" t="str">
            <v>110000</v>
          </cell>
          <cell r="B1093" t="str">
            <v>LIGACOES PREDIAIS</v>
          </cell>
        </row>
        <row r="1094">
          <cell r="A1094" t="str">
            <v>110100</v>
          </cell>
          <cell r="B1094" t="str">
            <v>LIGACOES DOMICILIARES DE AGUA</v>
          </cell>
        </row>
        <row r="1095">
          <cell r="A1095" t="str">
            <v>110101</v>
          </cell>
          <cell r="B1095" t="str">
            <v>LIGACAO DE AGUA A REDE PUBLICA</v>
          </cell>
          <cell r="C1095" t="str">
            <v>UN</v>
          </cell>
          <cell r="D1095">
            <v>34.15</v>
          </cell>
        </row>
        <row r="1096">
          <cell r="A1096" t="str">
            <v>110102</v>
          </cell>
          <cell r="B1096" t="str">
            <v>ASSENTAMENTO DE TUBULACAO (PAD E FERRO GALVANIZADO)</v>
          </cell>
          <cell r="C1096" t="str">
            <v>M</v>
          </cell>
          <cell r="D1096">
            <v>6.21</v>
          </cell>
        </row>
        <row r="1098">
          <cell r="A1098" t="str">
            <v>110200</v>
          </cell>
          <cell r="B1098" t="str">
            <v>LIGACOES DOMICILIARES DE ESGOTOS - DIAMETRO 100 MM</v>
          </cell>
        </row>
        <row r="1099">
          <cell r="A1099" t="str">
            <v>110201</v>
          </cell>
          <cell r="B1099" t="str">
            <v>NO PASSEIO, COMPLETA - DIAMETRO 100 MM</v>
          </cell>
          <cell r="C1099" t="str">
            <v>UN</v>
          </cell>
          <cell r="D1099">
            <v>43.98</v>
          </cell>
        </row>
        <row r="1100">
          <cell r="A1100" t="str">
            <v>110202</v>
          </cell>
          <cell r="B1100" t="str">
            <v>NO TERCO, COMPLETA - DIAMETRO 100 MM</v>
          </cell>
          <cell r="C1100" t="str">
            <v>UN</v>
          </cell>
          <cell r="D1100">
            <v>108.68</v>
          </cell>
        </row>
        <row r="1101">
          <cell r="A1101" t="str">
            <v>110203</v>
          </cell>
          <cell r="B1101" t="str">
            <v>NO EIXO, COMPLETA - DIAMETRO 100 MM</v>
          </cell>
          <cell r="C1101" t="str">
            <v>UN</v>
          </cell>
          <cell r="D1101">
            <v>141.04</v>
          </cell>
        </row>
        <row r="1102">
          <cell r="A1102" t="str">
            <v>110204</v>
          </cell>
          <cell r="B1102" t="str">
            <v>NO TERCO OPOSTO, COMPLETA - DIAMETRO 100 MM</v>
          </cell>
          <cell r="C1102" t="str">
            <v>UN</v>
          </cell>
          <cell r="D1102">
            <v>173.39</v>
          </cell>
        </row>
        <row r="1103">
          <cell r="A1103" t="str">
            <v>110205</v>
          </cell>
          <cell r="B1103" t="str">
            <v>NO PASSEIO, SEM CONEXAO - DIAMETRO 100 MM</v>
          </cell>
          <cell r="C1103" t="str">
            <v>UN</v>
          </cell>
          <cell r="D1103">
            <v>32.340000000000003</v>
          </cell>
        </row>
        <row r="1104">
          <cell r="A1104" t="str">
            <v>110206</v>
          </cell>
          <cell r="B1104" t="str">
            <v>NO TERCO, SEM CONEXAO - DIAMETRO 100 MM</v>
          </cell>
          <cell r="C1104" t="str">
            <v>UN</v>
          </cell>
          <cell r="D1104">
            <v>97.05</v>
          </cell>
        </row>
        <row r="1105">
          <cell r="A1105" t="str">
            <v>110207</v>
          </cell>
          <cell r="B1105" t="str">
            <v>NO EIXO, SEM CONEXAO - DIAMETRO 100 MM</v>
          </cell>
          <cell r="C1105" t="str">
            <v>UN</v>
          </cell>
          <cell r="D1105">
            <v>129.4</v>
          </cell>
        </row>
        <row r="1106">
          <cell r="A1106" t="str">
            <v>110208</v>
          </cell>
          <cell r="B1106" t="str">
            <v>NO TERCO OPOSTO, SEM CONEXAO - DIAMETRO 100 MM</v>
          </cell>
          <cell r="C1106" t="str">
            <v>UN</v>
          </cell>
          <cell r="D1106">
            <v>161.75</v>
          </cell>
        </row>
        <row r="1107">
          <cell r="A1107" t="str">
            <v>110209</v>
          </cell>
          <cell r="B1107" t="str">
            <v>CONEXAO POSTERIOR - DIAMETRO 100 MM</v>
          </cell>
          <cell r="C1107" t="str">
            <v>UN</v>
          </cell>
          <cell r="D1107">
            <v>44.19</v>
          </cell>
        </row>
        <row r="1108">
          <cell r="A1108" t="str">
            <v>110210</v>
          </cell>
          <cell r="B1108" t="str">
            <v>NO PASSEIO OPOSTO, COMPLETA - DIAMETRO 100 MM</v>
          </cell>
          <cell r="C1108" t="str">
            <v>UN</v>
          </cell>
          <cell r="D1108">
            <v>238.09</v>
          </cell>
        </row>
        <row r="1109">
          <cell r="A1109" t="str">
            <v>110211</v>
          </cell>
          <cell r="B1109" t="str">
            <v>NO PASSEIO OPOSTO, SEM CONEXAO - DIAMETRO 100 MM</v>
          </cell>
          <cell r="C1109" t="str">
            <v>UN</v>
          </cell>
          <cell r="D1109">
            <v>226.45</v>
          </cell>
        </row>
        <row r="1111">
          <cell r="A1111" t="str">
            <v>110300</v>
          </cell>
          <cell r="B1111" t="str">
            <v>LIGACOES DOMICILIARES DE ESGOTOS - DIAMETRO 150 MM</v>
          </cell>
        </row>
        <row r="1112">
          <cell r="A1112" t="str">
            <v>110301</v>
          </cell>
          <cell r="B1112" t="str">
            <v>NO PASSEIO, COMPLETA - DIAMETRO 150 MM</v>
          </cell>
          <cell r="C1112" t="str">
            <v>UN</v>
          </cell>
          <cell r="D1112">
            <v>47.68</v>
          </cell>
        </row>
        <row r="1113">
          <cell r="A1113" t="str">
            <v>110302</v>
          </cell>
          <cell r="B1113" t="str">
            <v>NO TERCO, COMPLETA - DIAMETRO 150 MM</v>
          </cell>
          <cell r="C1113" t="str">
            <v>UN</v>
          </cell>
          <cell r="D1113">
            <v>117.01</v>
          </cell>
        </row>
        <row r="1114">
          <cell r="A1114" t="str">
            <v>110303</v>
          </cell>
          <cell r="B1114" t="str">
            <v>NO EIXO, COMPLETA - DIAMETRO 150 MM</v>
          </cell>
          <cell r="C1114" t="str">
            <v>UN</v>
          </cell>
          <cell r="D1114">
            <v>151.68</v>
          </cell>
        </row>
        <row r="1115">
          <cell r="A1115" t="str">
            <v>110304</v>
          </cell>
          <cell r="B1115" t="str">
            <v>NO TERCO OPOSTO, COMPLETA - DIAMETRO 150 MM</v>
          </cell>
          <cell r="C1115" t="str">
            <v>UN</v>
          </cell>
          <cell r="D1115">
            <v>186.34</v>
          </cell>
        </row>
        <row r="1116">
          <cell r="A1116" t="str">
            <v>110305</v>
          </cell>
          <cell r="B1116" t="str">
            <v>NO PASSEIO, SEM CONEXAO - DIAMETRO 150 MM</v>
          </cell>
          <cell r="C1116" t="str">
            <v>UN</v>
          </cell>
          <cell r="D1116">
            <v>34.65</v>
          </cell>
        </row>
        <row r="1117">
          <cell r="A1117" t="str">
            <v>110306</v>
          </cell>
          <cell r="B1117" t="str">
            <v>NO TERCO, SEM CONEXAO - DIAMETRO 150 MM</v>
          </cell>
          <cell r="C1117" t="str">
            <v>UN</v>
          </cell>
          <cell r="D1117">
            <v>103.99</v>
          </cell>
        </row>
        <row r="1118">
          <cell r="A1118" t="str">
            <v>110307</v>
          </cell>
          <cell r="B1118" t="str">
            <v>NO EIXO, SEM CONEXAO - DIAMETRO 150 MM</v>
          </cell>
          <cell r="C1118" t="str">
            <v>UN</v>
          </cell>
          <cell r="D1118">
            <v>138.66</v>
          </cell>
        </row>
        <row r="1119">
          <cell r="A1119" t="str">
            <v>110308</v>
          </cell>
          <cell r="B1119" t="str">
            <v>NO TERCO OPOSTO, SEM CONEXAO - DIAMETRO 150 MM</v>
          </cell>
          <cell r="C1119" t="str">
            <v>UN</v>
          </cell>
          <cell r="D1119">
            <v>173.32</v>
          </cell>
        </row>
        <row r="1120">
          <cell r="A1120" t="str">
            <v>110309</v>
          </cell>
          <cell r="B1120" t="str">
            <v>CONEXAO POSTERIOR - DIAMETRO 150 MM</v>
          </cell>
          <cell r="C1120" t="str">
            <v>UN</v>
          </cell>
          <cell r="D1120">
            <v>44.88</v>
          </cell>
        </row>
        <row r="1122">
          <cell r="A1122" t="str">
            <v>110400</v>
          </cell>
          <cell r="B1122" t="str">
            <v>CARGA, TRANSPORTE ATE 10 KM E DESCARGA DE TUBOS E PECAS DE PEAD E/OU FERRO GALVANIZADO</v>
          </cell>
        </row>
        <row r="1123">
          <cell r="A1123" t="str">
            <v>110401</v>
          </cell>
          <cell r="B1123" t="str">
            <v>TUBOS E PECAS PARA LIGACOES</v>
          </cell>
          <cell r="C1123" t="str">
            <v>KM</v>
          </cell>
          <cell r="D1123">
            <v>27.19</v>
          </cell>
        </row>
        <row r="1125">
          <cell r="A1125" t="str">
            <v>110500</v>
          </cell>
          <cell r="B1125" t="str">
            <v>TRANSPORTE EXCEDENTE A 10 KM DE TUBOS E PECAS DE PEAD E/OU FERRO GALVANIZADO</v>
          </cell>
        </row>
        <row r="1126">
          <cell r="A1126" t="str">
            <v>110501</v>
          </cell>
          <cell r="B1126" t="str">
            <v>TUBOS E PECAS PARA LIGACOES</v>
          </cell>
          <cell r="C1126" t="str">
            <v>KMXKM</v>
          </cell>
          <cell r="D1126">
            <v>0.77</v>
          </cell>
        </row>
        <row r="1128">
          <cell r="A1128" t="str">
            <v>120000</v>
          </cell>
          <cell r="B1128" t="str">
            <v>FECHAMENTO</v>
          </cell>
        </row>
        <row r="1129">
          <cell r="A1129" t="str">
            <v>120100</v>
          </cell>
          <cell r="B1129" t="str">
            <v>ALVENARIA</v>
          </cell>
        </row>
        <row r="1130">
          <cell r="A1130" t="str">
            <v>120101</v>
          </cell>
          <cell r="B1130" t="str">
            <v>ALVENARIA DE TIJOLOS COMUNS SEM ANDAIMES</v>
          </cell>
          <cell r="C1130" t="str">
            <v>M3</v>
          </cell>
          <cell r="D1130">
            <v>294.36</v>
          </cell>
        </row>
        <row r="1131">
          <cell r="A1131" t="str">
            <v>120102</v>
          </cell>
          <cell r="B1131" t="str">
            <v>ALVENARIA DE BLOCOS DE CONCRETO SEM ANDAIMES</v>
          </cell>
          <cell r="C1131" t="str">
            <v>M3</v>
          </cell>
          <cell r="D1131">
            <v>204.88</v>
          </cell>
        </row>
        <row r="1132">
          <cell r="A1132" t="str">
            <v>120103</v>
          </cell>
          <cell r="B1132" t="str">
            <v>ALVENARIA DE TIJOLOS BAIANOS SEM ANDAIMES</v>
          </cell>
          <cell r="C1132" t="str">
            <v>M3</v>
          </cell>
          <cell r="D1132">
            <v>166.17</v>
          </cell>
        </row>
        <row r="1133">
          <cell r="A1133" t="str">
            <v>120104</v>
          </cell>
          <cell r="B1133" t="str">
            <v>ALVENARIA DE ELEVACAO, EM CUTELO TIJOLO COMUM, SEM ANDAIMES</v>
          </cell>
          <cell r="C1133" t="str">
            <v>M2</v>
          </cell>
          <cell r="D1133">
            <v>22.06</v>
          </cell>
        </row>
        <row r="1134">
          <cell r="A1134" t="str">
            <v>120105</v>
          </cell>
          <cell r="B1134" t="str">
            <v>ALVENARIA DE ELEVACAO, 1/2 TIJOLO COMUM</v>
          </cell>
          <cell r="C1134" t="str">
            <v>M2</v>
          </cell>
          <cell r="D1134">
            <v>38.06</v>
          </cell>
        </row>
        <row r="1135">
          <cell r="A1135" t="str">
            <v>120106</v>
          </cell>
          <cell r="B1135" t="str">
            <v>ALVENARIA DE ELEVACAO, 1 TIJOLO COMUM</v>
          </cell>
          <cell r="C1135" t="str">
            <v>M2</v>
          </cell>
          <cell r="D1135">
            <v>68.58</v>
          </cell>
        </row>
        <row r="1136">
          <cell r="A1136" t="str">
            <v>120107</v>
          </cell>
          <cell r="B1136" t="str">
            <v>ALVENARIA DE ELEVACAO, 1 1/2 TIJOLO COMUM</v>
          </cell>
          <cell r="C1136" t="str">
            <v>M2</v>
          </cell>
          <cell r="D1136">
            <v>106.67</v>
          </cell>
        </row>
        <row r="1137">
          <cell r="A1137" t="str">
            <v>120108</v>
          </cell>
          <cell r="B1137" t="str">
            <v>ALVENARIA DE ELEVACAO, 1/2 TIJOLO A VISTA</v>
          </cell>
          <cell r="C1137" t="str">
            <v>M2</v>
          </cell>
          <cell r="D1137">
            <v>76.540000000000006</v>
          </cell>
        </row>
        <row r="1138">
          <cell r="A1138" t="str">
            <v>120109</v>
          </cell>
          <cell r="B1138" t="str">
            <v>ALVENARIA DE ELEVACAO, 1 TIJOLO A VISTA</v>
          </cell>
          <cell r="C1138" t="str">
            <v>M2</v>
          </cell>
          <cell r="D1138">
            <v>143.05000000000001</v>
          </cell>
        </row>
        <row r="1139">
          <cell r="A1139" t="str">
            <v>120110</v>
          </cell>
          <cell r="B1139" t="str">
            <v>ALVENARIA DE ELEVACAO, TIJOLO CERAMICO 8 FUROS, ESPELHO</v>
          </cell>
          <cell r="C1139" t="str">
            <v>M2</v>
          </cell>
          <cell r="D1139">
            <v>23.55</v>
          </cell>
        </row>
        <row r="1140">
          <cell r="A1140" t="str">
            <v>120111</v>
          </cell>
          <cell r="B1140" t="str">
            <v>ALVENARIA DE ELEVACAO, TIJOLO CERAMICO 8 FUROS,CHATO</v>
          </cell>
          <cell r="C1140" t="str">
            <v>M2</v>
          </cell>
          <cell r="D1140">
            <v>44.87</v>
          </cell>
        </row>
        <row r="1141">
          <cell r="A1141" t="str">
            <v>120112</v>
          </cell>
          <cell r="B1141" t="str">
            <v>alvenaria de elevacao, blocos de concreto 9 x 19 x 39 cm</v>
          </cell>
          <cell r="C1141" t="str">
            <v>M2</v>
          </cell>
          <cell r="D1141">
            <v>24.72</v>
          </cell>
        </row>
        <row r="1142">
          <cell r="A1142" t="str">
            <v>120113</v>
          </cell>
          <cell r="B1142" t="str">
            <v>alvenaria de elevacao, blocos de concreto 14 x 19 x 39 cm</v>
          </cell>
          <cell r="C1142" t="str">
            <v>M2</v>
          </cell>
          <cell r="D1142">
            <v>32.81</v>
          </cell>
        </row>
        <row r="1143">
          <cell r="A1143" t="str">
            <v>120114</v>
          </cell>
          <cell r="B1143" t="str">
            <v>alvenaria de elevacao, blocos de concreto 19 x 19 x 39 cm</v>
          </cell>
          <cell r="C1143" t="str">
            <v>M2</v>
          </cell>
          <cell r="D1143">
            <v>41.41</v>
          </cell>
        </row>
        <row r="1144">
          <cell r="A1144" t="str">
            <v>120115</v>
          </cell>
          <cell r="B1144" t="str">
            <v>alvenaria de blocos estruturais 19 x 19 x 39 cm, com ferragens e grout</v>
          </cell>
          <cell r="C1144" t="str">
            <v>M2</v>
          </cell>
          <cell r="D1144">
            <v>66.53</v>
          </cell>
        </row>
        <row r="1145">
          <cell r="A1145" t="str">
            <v>120116</v>
          </cell>
          <cell r="B1145" t="str">
            <v>ALVENARIA COM ELEMENTO VAZADO - CERAMICO</v>
          </cell>
          <cell r="C1145" t="str">
            <v>M2</v>
          </cell>
          <cell r="D1145">
            <v>67.33</v>
          </cell>
        </row>
        <row r="1146">
          <cell r="A1146" t="str">
            <v>120117</v>
          </cell>
          <cell r="B1146" t="str">
            <v>ALVENARIA COM ELEMENTO VAZADO - CONCRETO</v>
          </cell>
          <cell r="C1146" t="str">
            <v>M2</v>
          </cell>
          <cell r="D1146">
            <v>77.709999999999994</v>
          </cell>
        </row>
        <row r="1148">
          <cell r="A1148" t="str">
            <v>120200</v>
          </cell>
          <cell r="B1148" t="str">
            <v>COBERTURA, MADEIRAMENTO, CONDUTOR, CALHAS E RUFOS</v>
          </cell>
        </row>
        <row r="1149">
          <cell r="A1149" t="str">
            <v>120201</v>
          </cell>
          <cell r="B1149" t="str">
            <v>COBERTURA COM TELHA FRANCESA</v>
          </cell>
          <cell r="C1149" t="str">
            <v>M2</v>
          </cell>
          <cell r="D1149">
            <v>71.819999999999993</v>
          </cell>
        </row>
        <row r="1150">
          <cell r="A1150" t="str">
            <v>120202</v>
          </cell>
          <cell r="B1150" t="str">
            <v>COBERTURA COM TELHA DE FIBROCIMENTO ONDULADA - 6 MM</v>
          </cell>
          <cell r="C1150" t="str">
            <v>M2</v>
          </cell>
          <cell r="D1150">
            <v>60.03</v>
          </cell>
        </row>
        <row r="1151">
          <cell r="A1151" t="str">
            <v>120203</v>
          </cell>
          <cell r="B1151" t="str">
            <v>COBERTURA COM TELHA DE FIBROCIMENTO ONDULADA - 8 MM</v>
          </cell>
          <cell r="C1151" t="str">
            <v>M2</v>
          </cell>
          <cell r="D1151">
            <v>64.02</v>
          </cell>
        </row>
        <row r="1152">
          <cell r="A1152" t="str">
            <v>120204</v>
          </cell>
          <cell r="B1152" t="str">
            <v>COBERTURA COM TELHA DE FIBROCIMENTO ESTRUTURAL L=49CM</v>
          </cell>
          <cell r="C1152" t="str">
            <v>M2</v>
          </cell>
          <cell r="D1152">
            <v>60.22</v>
          </cell>
        </row>
        <row r="1153">
          <cell r="A1153" t="str">
            <v>120205</v>
          </cell>
          <cell r="B1153" t="str">
            <v>COBERTURA COM TELHA DE FIBROCIMENTO ESTRUTURAL L=90CM</v>
          </cell>
          <cell r="C1153" t="str">
            <v>M2</v>
          </cell>
          <cell r="D1153">
            <v>43.35</v>
          </cell>
        </row>
        <row r="1154">
          <cell r="A1154" t="str">
            <v>120206</v>
          </cell>
          <cell r="B1154" t="str">
            <v>CONDUTOR EM CHAPA GALVANIZADA N 24 DESENV 0,25M</v>
          </cell>
          <cell r="C1154" t="str">
            <v>M</v>
          </cell>
          <cell r="D1154">
            <v>20.64</v>
          </cell>
        </row>
        <row r="1155">
          <cell r="A1155" t="str">
            <v>120207</v>
          </cell>
          <cell r="B1155" t="str">
            <v>CONDUTOR EM CHAPA GALVANIZADA N 24 DESENV 0,33 M</v>
          </cell>
          <cell r="C1155" t="str">
            <v>M</v>
          </cell>
          <cell r="D1155">
            <v>26.61</v>
          </cell>
        </row>
        <row r="1156">
          <cell r="A1156" t="str">
            <v>120208</v>
          </cell>
          <cell r="B1156" t="str">
            <v>CALHA OU AGUA FURTADA EM CHAPA GALV. N 24 CORTE - 0,33M</v>
          </cell>
          <cell r="C1156" t="str">
            <v>M</v>
          </cell>
          <cell r="D1156">
            <v>23.42</v>
          </cell>
        </row>
        <row r="1157">
          <cell r="A1157" t="str">
            <v>120209</v>
          </cell>
          <cell r="B1157" t="str">
            <v>CALHA OU AGUA FURTADA EM CHAPA GALV. N 24 CORTE - 0,50M</v>
          </cell>
          <cell r="C1157" t="str">
            <v>M</v>
          </cell>
          <cell r="D1157">
            <v>31.5</v>
          </cell>
        </row>
        <row r="1158">
          <cell r="A1158" t="str">
            <v>120210</v>
          </cell>
          <cell r="B1158" t="str">
            <v>RUFO EM CHAPA GALVANIZADA N 24 CORTE 0,10 M</v>
          </cell>
          <cell r="C1158" t="str">
            <v>M</v>
          </cell>
          <cell r="D1158">
            <v>11.73</v>
          </cell>
        </row>
        <row r="1159">
          <cell r="A1159" t="str">
            <v>120211</v>
          </cell>
          <cell r="B1159" t="str">
            <v>RUFO EM CHAPA GALVANIZADA N 24 CORTE 0,16 M</v>
          </cell>
          <cell r="C1159" t="str">
            <v>M</v>
          </cell>
          <cell r="D1159">
            <v>12.14</v>
          </cell>
        </row>
        <row r="1160">
          <cell r="A1160" t="str">
            <v>120212</v>
          </cell>
          <cell r="B1160" t="str">
            <v>RUFO EM CHAPA GALVANIZADA N 24 CORTE 0,25 M</v>
          </cell>
          <cell r="C1160" t="str">
            <v>M</v>
          </cell>
          <cell r="D1160">
            <v>13.69</v>
          </cell>
        </row>
        <row r="1161">
          <cell r="A1161" t="str">
            <v>120213</v>
          </cell>
          <cell r="B1161" t="str">
            <v>RUFO EM CHAPA GALVANIZADA N 24 CORTE 0,33 M</v>
          </cell>
          <cell r="C1161" t="str">
            <v>M</v>
          </cell>
          <cell r="D1161">
            <v>17.510000000000002</v>
          </cell>
        </row>
        <row r="1162">
          <cell r="A1162" t="str">
            <v>120214</v>
          </cell>
          <cell r="B1162" t="str">
            <v>RUFO EM CHAPA GALVANIZADA N 24 CORTE 0,50 M</v>
          </cell>
          <cell r="C1162" t="str">
            <v>M</v>
          </cell>
          <cell r="D1162">
            <v>30.05</v>
          </cell>
        </row>
        <row r="1164">
          <cell r="A1164" t="str">
            <v>120300</v>
          </cell>
          <cell r="B1164" t="str">
            <v>ESQUADRIAS DE MADEIRA</v>
          </cell>
        </row>
        <row r="1165">
          <cell r="A1165" t="str">
            <v>120301</v>
          </cell>
          <cell r="B1165" t="str">
            <v>PORTA EXTERNA DE CEDRO, 1 FOLHA</v>
          </cell>
          <cell r="C1165" t="str">
            <v>M2</v>
          </cell>
          <cell r="D1165">
            <v>129.91</v>
          </cell>
        </row>
        <row r="1166">
          <cell r="A1166" t="str">
            <v>120302</v>
          </cell>
          <cell r="B1166" t="str">
            <v>PORTA EXTERNA DE CERRO, 2 FOLHAS</v>
          </cell>
          <cell r="C1166" t="str">
            <v>M2</v>
          </cell>
          <cell r="D1166">
            <v>135.38999999999999</v>
          </cell>
        </row>
        <row r="1167">
          <cell r="A1167" t="str">
            <v>120303</v>
          </cell>
          <cell r="B1167" t="str">
            <v>PORTA INTERNA DE CEDRO, 1 FOLHA</v>
          </cell>
          <cell r="C1167" t="str">
            <v>M2</v>
          </cell>
          <cell r="D1167">
            <v>187.84</v>
          </cell>
        </row>
        <row r="1168">
          <cell r="A1168" t="str">
            <v>120304</v>
          </cell>
          <cell r="B1168" t="str">
            <v>PORTA INTERNA DE CEDRO, 2 FOLHAS</v>
          </cell>
          <cell r="C1168" t="str">
            <v>M2</v>
          </cell>
          <cell r="D1168">
            <v>119.93</v>
          </cell>
        </row>
        <row r="1169">
          <cell r="A1169" t="str">
            <v>120305</v>
          </cell>
          <cell r="B1169" t="str">
            <v>ALCAPAO 0,60X0,60 M</v>
          </cell>
          <cell r="C1169" t="str">
            <v>UN</v>
          </cell>
          <cell r="D1169">
            <v>71.239999999999995</v>
          </cell>
        </row>
        <row r="1170">
          <cell r="A1170" t="str">
            <v>120306</v>
          </cell>
          <cell r="B1170" t="str">
            <v>JANELA TIPO GUILHOTINA COM VENEZIANAS DE PEROBA</v>
          </cell>
          <cell r="C1170" t="str">
            <v>M2</v>
          </cell>
          <cell r="D1170">
            <v>223.81</v>
          </cell>
        </row>
        <row r="1172">
          <cell r="A1172" t="str">
            <v>120400</v>
          </cell>
          <cell r="B1172" t="str">
            <v>ESQUADRIAS METALICAS</v>
          </cell>
        </row>
        <row r="1173">
          <cell r="A1173" t="str">
            <v>120401</v>
          </cell>
          <cell r="B1173" t="str">
            <v>PORTA METALICA COM VIDRO</v>
          </cell>
          <cell r="C1173" t="str">
            <v>M2</v>
          </cell>
          <cell r="D1173">
            <v>268.04000000000002</v>
          </cell>
        </row>
        <row r="1174">
          <cell r="A1174" t="str">
            <v>120402</v>
          </cell>
          <cell r="B1174" t="str">
            <v>PORTA METALICA COM TELA</v>
          </cell>
          <cell r="C1174" t="str">
            <v>M2</v>
          </cell>
          <cell r="D1174">
            <v>269.39</v>
          </cell>
        </row>
        <row r="1175">
          <cell r="A1175" t="str">
            <v>120403</v>
          </cell>
          <cell r="B1175" t="str">
            <v>PORTA METALICA EXTERNA - 2 FOLHAS, 2,00 X 2,60 M</v>
          </cell>
          <cell r="C1175" t="str">
            <v>UN</v>
          </cell>
          <cell r="D1175">
            <v>1859.48</v>
          </cell>
        </row>
        <row r="1176">
          <cell r="A1176" t="str">
            <v>120404</v>
          </cell>
          <cell r="B1176" t="str">
            <v>JANELA BASCULANTE DE FERRO</v>
          </cell>
          <cell r="C1176" t="str">
            <v>M2</v>
          </cell>
          <cell r="D1176">
            <v>238.49</v>
          </cell>
        </row>
        <row r="1177">
          <cell r="A1177" t="str">
            <v>120405</v>
          </cell>
          <cell r="B1177" t="str">
            <v>JANELA DE CORRER OU MAXIM-AIR DE FERRO</v>
          </cell>
          <cell r="C1177" t="str">
            <v>M2</v>
          </cell>
          <cell r="D1177">
            <v>243.46</v>
          </cell>
        </row>
        <row r="1178">
          <cell r="A1178" t="str">
            <v>120406</v>
          </cell>
          <cell r="B1178" t="str">
            <v>JANELA BASCULANTE DE ALUMINIO</v>
          </cell>
          <cell r="C1178" t="str">
            <v>M2</v>
          </cell>
          <cell r="D1178">
            <v>370.65</v>
          </cell>
        </row>
        <row r="1179">
          <cell r="A1179" t="str">
            <v>120407</v>
          </cell>
          <cell r="B1179" t="str">
            <v>JANELA DE CORRER OU MAXIM-AIR DE ALUMINIO</v>
          </cell>
          <cell r="C1179" t="str">
            <v>M2</v>
          </cell>
          <cell r="D1179">
            <v>396.31</v>
          </cell>
        </row>
        <row r="1180">
          <cell r="A1180" t="str">
            <v>120408</v>
          </cell>
          <cell r="B1180" t="str">
            <v>PORTAS DE ENTRADA EM ALUMINIO COM 1 FOLHA DE ABRIR</v>
          </cell>
          <cell r="C1180" t="str">
            <v>M2</v>
          </cell>
          <cell r="D1180">
            <v>336.56</v>
          </cell>
        </row>
        <row r="1181">
          <cell r="A1181" t="str">
            <v>120409</v>
          </cell>
          <cell r="B1181" t="str">
            <v>PORTAS DE ENTRADA EM ALUMINIO COM 2 FOLHA DE ABRIR</v>
          </cell>
          <cell r="C1181" t="str">
            <v>M2</v>
          </cell>
          <cell r="D1181">
            <v>357.62</v>
          </cell>
        </row>
        <row r="1182">
          <cell r="A1182" t="str">
            <v>120410</v>
          </cell>
          <cell r="B1182" t="str">
            <v>PORTAS DE ENTRADA EM ALUMINIO DE CORRER</v>
          </cell>
          <cell r="C1182" t="str">
            <v>M2</v>
          </cell>
          <cell r="D1182">
            <v>194.57</v>
          </cell>
        </row>
        <row r="1184">
          <cell r="A1184" t="str">
            <v>120500</v>
          </cell>
          <cell r="B1184" t="str">
            <v>FERRAGENS</v>
          </cell>
        </row>
        <row r="1185">
          <cell r="A1185" t="str">
            <v>120501</v>
          </cell>
          <cell r="B1185" t="str">
            <v>FECHADURA PARA PORTA EXTERNA</v>
          </cell>
          <cell r="C1185" t="str">
            <v>UN</v>
          </cell>
          <cell r="D1185">
            <v>73.98</v>
          </cell>
        </row>
        <row r="1186">
          <cell r="A1186" t="str">
            <v>120502</v>
          </cell>
          <cell r="B1186" t="str">
            <v>FECHADURA PARA PORTA INTERNA</v>
          </cell>
          <cell r="C1186" t="str">
            <v>UN</v>
          </cell>
          <cell r="D1186">
            <v>24.48</v>
          </cell>
        </row>
        <row r="1187">
          <cell r="A1187" t="str">
            <v>120503</v>
          </cell>
          <cell r="B1187" t="str">
            <v>FECHADURA PARA PORTA WC</v>
          </cell>
          <cell r="C1187" t="str">
            <v>UN</v>
          </cell>
          <cell r="D1187">
            <v>23.76</v>
          </cell>
        </row>
        <row r="1188">
          <cell r="A1188" t="str">
            <v>120504</v>
          </cell>
          <cell r="B1188" t="str">
            <v>FERRAGEM PARA JANELA DE MADEIRA TIPO GUILHOTINA COM VENEZIANAS</v>
          </cell>
          <cell r="C1188" t="str">
            <v>CJ</v>
          </cell>
          <cell r="D1188">
            <v>264.08</v>
          </cell>
        </row>
        <row r="1190">
          <cell r="A1190" t="str">
            <v>120600</v>
          </cell>
          <cell r="B1190" t="str">
            <v>VIDROS</v>
          </cell>
        </row>
        <row r="1191">
          <cell r="A1191" t="str">
            <v>120601</v>
          </cell>
          <cell r="B1191" t="str">
            <v>VIDRO PLANO DUPLO TRANSPARENTE 3 MM</v>
          </cell>
          <cell r="C1191" t="str">
            <v>M2</v>
          </cell>
          <cell r="D1191">
            <v>62.27</v>
          </cell>
        </row>
        <row r="1192">
          <cell r="A1192" t="str">
            <v>120602</v>
          </cell>
          <cell r="B1192" t="str">
            <v>VIDRO PLANO DUPLO TRANSLUCIDO 3 MM</v>
          </cell>
          <cell r="C1192" t="str">
            <v>M2</v>
          </cell>
          <cell r="D1192">
            <v>58.04</v>
          </cell>
        </row>
        <row r="1193">
          <cell r="A1193" t="str">
            <v>120603</v>
          </cell>
          <cell r="B1193" t="str">
            <v>VIDRO PLANO TRIPLO TRANSPARENTE DE 4 MM</v>
          </cell>
          <cell r="C1193" t="str">
            <v>M2</v>
          </cell>
          <cell r="D1193">
            <v>78.150000000000006</v>
          </cell>
        </row>
        <row r="1194">
          <cell r="A1194" t="str">
            <v>120604</v>
          </cell>
          <cell r="B1194" t="str">
            <v>VIDRO PLANO TRIPLO TRANSPARENTE DE 5 MM</v>
          </cell>
          <cell r="C1194" t="str">
            <v>M2</v>
          </cell>
          <cell r="D1194">
            <v>85.73</v>
          </cell>
        </row>
        <row r="1195">
          <cell r="A1195" t="str">
            <v>120605</v>
          </cell>
          <cell r="B1195" t="str">
            <v>VIDRO PLANO TEMPERADO INCOLOR DE 6 MM</v>
          </cell>
          <cell r="C1195" t="str">
            <v>M2</v>
          </cell>
          <cell r="D1195">
            <v>194.83</v>
          </cell>
        </row>
        <row r="1196">
          <cell r="A1196" t="str">
            <v>120606</v>
          </cell>
          <cell r="B1196" t="str">
            <v>VIDRO PLANO TEMPERADO INCOLOR DE 8 MM</v>
          </cell>
          <cell r="C1196" t="str">
            <v>M2</v>
          </cell>
          <cell r="D1196">
            <v>250.89</v>
          </cell>
        </row>
        <row r="1197">
          <cell r="A1197" t="str">
            <v>120607</v>
          </cell>
          <cell r="B1197" t="str">
            <v>VIDRO PLANO TEMPERADO INCOLOR DE 10MM</v>
          </cell>
          <cell r="C1197" t="str">
            <v>M2</v>
          </cell>
          <cell r="D1197">
            <v>273.98</v>
          </cell>
        </row>
        <row r="1199">
          <cell r="A1199" t="str">
            <v>120700</v>
          </cell>
          <cell r="B1199" t="str">
            <v>ESCADA - TIPO MARINHEIRO</v>
          </cell>
        </row>
        <row r="1200">
          <cell r="A1200" t="str">
            <v>120701</v>
          </cell>
          <cell r="B1200" t="str">
            <v>GALVANIZADO</v>
          </cell>
          <cell r="C1200" t="str">
            <v>M</v>
          </cell>
          <cell r="D1200">
            <v>45.97</v>
          </cell>
        </row>
        <row r="1202">
          <cell r="A1202" t="str">
            <v>120800</v>
          </cell>
          <cell r="B1202" t="str">
            <v>GUARDA-CORPO</v>
          </cell>
        </row>
        <row r="1203">
          <cell r="A1203" t="str">
            <v>120801</v>
          </cell>
          <cell r="B1203" t="str">
            <v>DIAMETRO 25 MM - (1 POL.)</v>
          </cell>
          <cell r="C1203" t="str">
            <v>M</v>
          </cell>
          <cell r="D1203">
            <v>76</v>
          </cell>
        </row>
        <row r="1204">
          <cell r="A1204" t="str">
            <v>120802</v>
          </cell>
          <cell r="B1204" t="str">
            <v>DIAMETRO 40 MM - (1 1/2 POL.)</v>
          </cell>
          <cell r="C1204" t="str">
            <v>M</v>
          </cell>
          <cell r="D1204">
            <v>94.78</v>
          </cell>
        </row>
        <row r="1205">
          <cell r="A1205" t="str">
            <v>120803</v>
          </cell>
          <cell r="B1205" t="str">
            <v>BARRA 2 X 5/16 POLEGADA</v>
          </cell>
          <cell r="C1205" t="str">
            <v>M</v>
          </cell>
          <cell r="D1205">
            <v>41.25</v>
          </cell>
        </row>
        <row r="1207">
          <cell r="A1207" t="str">
            <v>120900</v>
          </cell>
          <cell r="B1207" t="str">
            <v>GRADES METALICAS</v>
          </cell>
        </row>
        <row r="1208">
          <cell r="A1208" t="str">
            <v>120901</v>
          </cell>
          <cell r="B1208" t="str">
            <v>BARRAS 3/4 X 1/8 POLEGADA - ESPACAMENTO 1,5 CM</v>
          </cell>
          <cell r="C1208" t="str">
            <v>M2</v>
          </cell>
          <cell r="D1208">
            <v>134.1</v>
          </cell>
        </row>
        <row r="1209">
          <cell r="A1209" t="str">
            <v>120902</v>
          </cell>
          <cell r="B1209" t="str">
            <v>BARRAS 1 X 3/16 POLEGADA - ESPACAMENTO 2,0 CM</v>
          </cell>
          <cell r="C1209" t="str">
            <v>M2</v>
          </cell>
          <cell r="D1209">
            <v>177.94</v>
          </cell>
        </row>
        <row r="1210">
          <cell r="A1210" t="str">
            <v>120903</v>
          </cell>
          <cell r="B1210" t="str">
            <v>BARRAS 1 1/2 X 1/4 POLEGADA - ESPACAMENTO 2,5 CM</v>
          </cell>
          <cell r="C1210" t="str">
            <v>M2</v>
          </cell>
          <cell r="D1210">
            <v>265.74</v>
          </cell>
        </row>
        <row r="1211">
          <cell r="A1211" t="str">
            <v>120904</v>
          </cell>
          <cell r="B1211" t="str">
            <v>BARRAS 2 X 3/8 POLEGADA - ESPACAMENTO 2,5 CM</v>
          </cell>
          <cell r="C1211" t="str">
            <v>M2</v>
          </cell>
          <cell r="D1211">
            <v>501.21</v>
          </cell>
        </row>
        <row r="1212">
          <cell r="A1212" t="str">
            <v>120905</v>
          </cell>
          <cell r="B1212" t="str">
            <v>BARRAS DE 3/8 X 1 1/2 POLEGADA - ESPACAMENTO 1,976 CM</v>
          </cell>
          <cell r="C1212" t="str">
            <v>M2</v>
          </cell>
          <cell r="D1212">
            <v>441.3</v>
          </cell>
        </row>
        <row r="1213">
          <cell r="A1213" t="str">
            <v>120906</v>
          </cell>
          <cell r="B1213" t="str">
            <v>BARRAS DE 3/8 X 1 1/2 POLEGADA - ESPACAMENTO 3,35  CM</v>
          </cell>
          <cell r="C1213" t="str">
            <v>M2</v>
          </cell>
          <cell r="D1213">
            <v>362.09</v>
          </cell>
        </row>
        <row r="1215">
          <cell r="A1215" t="str">
            <v>121000</v>
          </cell>
          <cell r="B1215" t="str">
            <v>TAMPA DE INSPECAO METALICA</v>
          </cell>
        </row>
        <row r="1216">
          <cell r="A1216" t="str">
            <v>121001</v>
          </cell>
          <cell r="B1216" t="str">
            <v>0,70 X 0,70 M</v>
          </cell>
          <cell r="C1216" t="str">
            <v>UN</v>
          </cell>
          <cell r="D1216">
            <v>154.66</v>
          </cell>
        </row>
        <row r="1217">
          <cell r="A1217" t="str">
            <v>121002</v>
          </cell>
          <cell r="B1217" t="str">
            <v>0,95 X 0,90 M</v>
          </cell>
          <cell r="C1217" t="str">
            <v>UN</v>
          </cell>
          <cell r="D1217">
            <v>229.21</v>
          </cell>
        </row>
        <row r="1218">
          <cell r="A1218" t="str">
            <v>121003</v>
          </cell>
          <cell r="B1218" t="str">
            <v>0,80 X 1,40 M</v>
          </cell>
          <cell r="C1218" t="str">
            <v>UN</v>
          </cell>
          <cell r="D1218">
            <v>284.10000000000002</v>
          </cell>
        </row>
        <row r="1220">
          <cell r="A1220" t="str">
            <v>121100</v>
          </cell>
          <cell r="B1220" t="str">
            <v>GRELHAS</v>
          </cell>
        </row>
        <row r="1221">
          <cell r="A1221" t="str">
            <v>121101</v>
          </cell>
          <cell r="B1221" t="str">
            <v>GRELHA DE FERRO PERFILADO PECA DE 1,00X0,40 M</v>
          </cell>
          <cell r="C1221" t="str">
            <v>UN</v>
          </cell>
          <cell r="D1221">
            <v>314.10000000000002</v>
          </cell>
        </row>
        <row r="1222">
          <cell r="A1222" t="str">
            <v>121102</v>
          </cell>
          <cell r="B1222" t="str">
            <v>GRELHA DE FERRO PERFILADO PECA DE 1,00X0,50 M</v>
          </cell>
          <cell r="C1222" t="str">
            <v>UN</v>
          </cell>
          <cell r="D1222">
            <v>389.18</v>
          </cell>
        </row>
        <row r="1224">
          <cell r="A1224" t="str">
            <v>121200</v>
          </cell>
          <cell r="B1224" t="str">
            <v>COMPLEMENTOS ARQUITETONICOS E DIVISORIAS</v>
          </cell>
        </row>
        <row r="1225">
          <cell r="A1225" t="str">
            <v>121201</v>
          </cell>
          <cell r="B1225" t="str">
            <v>BALCAO DE ATENDIMENTO PUBLICO</v>
          </cell>
          <cell r="C1225" t="str">
            <v>M2</v>
          </cell>
          <cell r="D1225">
            <v>152.88</v>
          </cell>
        </row>
        <row r="1226">
          <cell r="A1226" t="str">
            <v>121202</v>
          </cell>
          <cell r="B1226" t="str">
            <v>BALCAO DE FORMICA</v>
          </cell>
          <cell r="C1226" t="str">
            <v>M2</v>
          </cell>
          <cell r="D1226">
            <v>359.1</v>
          </cell>
        </row>
        <row r="1227">
          <cell r="A1227" t="str">
            <v>121203</v>
          </cell>
          <cell r="B1227" t="str">
            <v>ARMARIO DE FORMICA SOB PIA</v>
          </cell>
          <cell r="C1227" t="str">
            <v>M2</v>
          </cell>
          <cell r="D1227">
            <v>184.6</v>
          </cell>
        </row>
        <row r="1228">
          <cell r="A1228" t="str">
            <v>121204</v>
          </cell>
          <cell r="B1228" t="str">
            <v>PRATELEIRA</v>
          </cell>
          <cell r="C1228" t="str">
            <v>M2</v>
          </cell>
          <cell r="D1228">
            <v>71.989999999999995</v>
          </cell>
        </row>
        <row r="1229">
          <cell r="A1229" t="str">
            <v>121205</v>
          </cell>
          <cell r="B1229" t="str">
            <v>ESTRADO DE MADEIRA</v>
          </cell>
          <cell r="C1229" t="str">
            <v>M2</v>
          </cell>
          <cell r="D1229">
            <v>31.41</v>
          </cell>
        </row>
        <row r="1230">
          <cell r="A1230" t="str">
            <v>121206</v>
          </cell>
          <cell r="B1230" t="str">
            <v>DIVISORIA DE GRANILITE H: 2,15 M - E: 5 CM</v>
          </cell>
          <cell r="C1230" t="str">
            <v>M</v>
          </cell>
          <cell r="D1230">
            <v>250.9</v>
          </cell>
        </row>
        <row r="1232">
          <cell r="A1232" t="str">
            <v>130000</v>
          </cell>
          <cell r="B1232" t="str">
            <v>REVESTIMENTO E TRATAMENTO DE SUPERFICIE</v>
          </cell>
        </row>
        <row r="1233">
          <cell r="A1233" t="str">
            <v>130100</v>
          </cell>
          <cell r="B1233" t="str">
            <v>PISOS, TETOS E PAREDES</v>
          </cell>
        </row>
        <row r="1234">
          <cell r="A1234" t="str">
            <v>130101</v>
          </cell>
          <cell r="B1234" t="str">
            <v>ENCHIMENTO COM ARGAMASSA DE CIMENTO E AREIA 1:3</v>
          </cell>
          <cell r="C1234" t="str">
            <v>M3</v>
          </cell>
          <cell r="D1234">
            <v>266.86</v>
          </cell>
        </row>
        <row r="1235">
          <cell r="A1235" t="str">
            <v>130102</v>
          </cell>
          <cell r="B1235" t="str">
            <v>CHAPISCO</v>
          </cell>
          <cell r="C1235" t="str">
            <v>M2</v>
          </cell>
          <cell r="D1235">
            <v>4.3600000000000003</v>
          </cell>
        </row>
        <row r="1236">
          <cell r="A1236" t="str">
            <v>130103</v>
          </cell>
          <cell r="B1236" t="str">
            <v>EMBOCO</v>
          </cell>
          <cell r="C1236" t="str">
            <v>M2</v>
          </cell>
          <cell r="D1236">
            <v>14.24</v>
          </cell>
        </row>
        <row r="1237">
          <cell r="A1237" t="str">
            <v>130104</v>
          </cell>
          <cell r="B1237" t="str">
            <v>REBOCO</v>
          </cell>
          <cell r="C1237" t="str">
            <v>M2</v>
          </cell>
          <cell r="D1237">
            <v>8.33</v>
          </cell>
        </row>
        <row r="1238">
          <cell r="A1238" t="str">
            <v>130105</v>
          </cell>
          <cell r="B1238" t="str">
            <v>REVESTIMENTO DE PAREDE COM AZULEJO 15X15CM - ASSENTAMENTO COLADO OU ARGAMASSA</v>
          </cell>
          <cell r="C1238" t="str">
            <v>M2</v>
          </cell>
          <cell r="D1238">
            <v>45.88</v>
          </cell>
        </row>
        <row r="1239">
          <cell r="A1239" t="str">
            <v>130106</v>
          </cell>
          <cell r="B1239" t="str">
            <v>REVESTIMENTO DE PAREDE COM LITOCERAMICA</v>
          </cell>
          <cell r="C1239" t="str">
            <v>M2</v>
          </cell>
          <cell r="D1239">
            <v>60.19</v>
          </cell>
        </row>
        <row r="1240">
          <cell r="A1240" t="str">
            <v>130107</v>
          </cell>
          <cell r="B1240" t="str">
            <v>REVESTIMENTO COM TELA E IMPERMEABILIZACAO RIGIDA COM ARGAMASSA</v>
          </cell>
          <cell r="C1240" t="str">
            <v>M2</v>
          </cell>
          <cell r="D1240">
            <v>46.74</v>
          </cell>
        </row>
        <row r="1241">
          <cell r="A1241" t="str">
            <v>130108</v>
          </cell>
          <cell r="B1241" t="str">
            <v>CONTRAPISO DE CONCRETO NAO ESTRUTURAL</v>
          </cell>
          <cell r="C1241" t="str">
            <v>M3</v>
          </cell>
          <cell r="D1241">
            <v>273.35000000000002</v>
          </cell>
        </row>
        <row r="1242">
          <cell r="A1242" t="str">
            <v>130109</v>
          </cell>
          <cell r="B1242" t="str">
            <v>PISO EXTERNO DE CONCRETO NAO ESTRUTURAL</v>
          </cell>
          <cell r="C1242" t="str">
            <v>M3</v>
          </cell>
          <cell r="D1242">
            <v>263.44</v>
          </cell>
        </row>
        <row r="1243">
          <cell r="A1243" t="str">
            <v>130110</v>
          </cell>
          <cell r="B1243" t="str">
            <v>PISO CIMENTADO LISO</v>
          </cell>
          <cell r="C1243" t="str">
            <v>M2</v>
          </cell>
          <cell r="D1243">
            <v>19.510000000000002</v>
          </cell>
        </row>
        <row r="1244">
          <cell r="A1244" t="str">
            <v>130111</v>
          </cell>
          <cell r="B1244" t="str">
            <v>PISO DE CERAMICA</v>
          </cell>
          <cell r="C1244" t="str">
            <v>M2</v>
          </cell>
          <cell r="D1244">
            <v>41.23</v>
          </cell>
        </row>
        <row r="1245">
          <cell r="A1245" t="str">
            <v>130112</v>
          </cell>
          <cell r="B1245" t="str">
            <v>PISO DE CERAMICA VITRIFICADA</v>
          </cell>
          <cell r="C1245" t="str">
            <v>M2</v>
          </cell>
          <cell r="D1245">
            <v>39.18</v>
          </cell>
        </row>
        <row r="1246">
          <cell r="A1246" t="str">
            <v>130113</v>
          </cell>
          <cell r="B1246" t="str">
            <v>PISO DE CHAPA VINILICA</v>
          </cell>
          <cell r="C1246" t="str">
            <v>M2</v>
          </cell>
          <cell r="D1246">
            <v>67.17</v>
          </cell>
        </row>
        <row r="1247">
          <cell r="A1247" t="str">
            <v>130114</v>
          </cell>
          <cell r="B1247" t="str">
            <v>PISO EM PLACA DE BORRACHA</v>
          </cell>
          <cell r="C1247" t="str">
            <v>M2</v>
          </cell>
          <cell r="D1247">
            <v>95.79</v>
          </cell>
        </row>
        <row r="1249">
          <cell r="A1249" t="str">
            <v>130200</v>
          </cell>
          <cell r="B1249" t="str">
            <v>IMPERMEABILIZACAO</v>
          </cell>
        </row>
        <row r="1250">
          <cell r="A1250" t="str">
            <v>130201</v>
          </cell>
          <cell r="B1250" t="str">
            <v>PROTECAO TERMICA EM CONCRETO CELULAR</v>
          </cell>
          <cell r="C1250" t="str">
            <v>M3</v>
          </cell>
          <cell r="D1250">
            <v>331.48</v>
          </cell>
        </row>
        <row r="1251">
          <cell r="A1251" t="str">
            <v>130202</v>
          </cell>
          <cell r="B1251" t="str">
            <v>PROTECAO TERMICA EM CONCRETO COM AGREGADO LEVE</v>
          </cell>
          <cell r="C1251" t="str">
            <v>M3</v>
          </cell>
          <cell r="D1251">
            <v>381.9</v>
          </cell>
        </row>
        <row r="1252">
          <cell r="A1252" t="str">
            <v>130203</v>
          </cell>
          <cell r="B1252" t="str">
            <v>IMPERMEABILIZACAO RIGIDA COM ARGAMASSA</v>
          </cell>
          <cell r="C1252" t="str">
            <v>M2</v>
          </cell>
          <cell r="D1252">
            <v>35.17</v>
          </cell>
        </row>
        <row r="1253">
          <cell r="A1253" t="str">
            <v>130204</v>
          </cell>
          <cell r="B1253" t="str">
            <v>IMPERMEABILIZACAO BETUMINOSA</v>
          </cell>
          <cell r="C1253" t="str">
            <v>M2</v>
          </cell>
          <cell r="D1253">
            <v>5.18</v>
          </cell>
        </row>
        <row r="1254">
          <cell r="A1254" t="str">
            <v>130205</v>
          </cell>
          <cell r="B1254" t="str">
            <v>IMPERMEABILIZACAO COM MANTA BUTILICA</v>
          </cell>
          <cell r="C1254" t="str">
            <v>M2</v>
          </cell>
          <cell r="D1254">
            <v>75.05</v>
          </cell>
        </row>
        <row r="1255">
          <cell r="A1255" t="str">
            <v>130207</v>
          </cell>
          <cell r="B1255" t="str">
            <v>IMPERMEABILIZACAO COM MANTA GEOTEXTIL IMPREGNADA  COM ASFALTO</v>
          </cell>
          <cell r="C1255" t="str">
            <v>M2</v>
          </cell>
          <cell r="D1255">
            <v>46.47</v>
          </cell>
        </row>
        <row r="1256">
          <cell r="A1256" t="str">
            <v>130208</v>
          </cell>
          <cell r="B1256" t="str">
            <v>IMPERMEABILIZACAO COM CIMENTO CRISTALIZANTE</v>
          </cell>
          <cell r="C1256" t="str">
            <v>M2</v>
          </cell>
          <cell r="D1256">
            <v>16.03</v>
          </cell>
        </row>
        <row r="1257">
          <cell r="A1257" t="str">
            <v>130209</v>
          </cell>
          <cell r="B1257" t="str">
            <v>IMPERMEABILIZACAO COM CIMENTO CRISTALIZANTE - BASE ACRILICA</v>
          </cell>
          <cell r="C1257" t="str">
            <v>M2</v>
          </cell>
          <cell r="D1257">
            <v>31.01</v>
          </cell>
        </row>
        <row r="1258">
          <cell r="A1258" t="str">
            <v>130210</v>
          </cell>
          <cell r="B1258" t="str">
            <v>PROTECAO MECANICA COM ARGAMASSA DE CIMENTO E AREIA</v>
          </cell>
          <cell r="C1258" t="str">
            <v>M3</v>
          </cell>
          <cell r="D1258">
            <v>313.36</v>
          </cell>
        </row>
        <row r="1259">
          <cell r="A1259" t="str">
            <v>130211</v>
          </cell>
          <cell r="B1259" t="str">
            <v>REGULARIZACAO DE BASE COM ARGAMASSA DE CIMENTO E AREIA</v>
          </cell>
          <cell r="C1259" t="str">
            <v>M3</v>
          </cell>
          <cell r="D1259">
            <v>279.02</v>
          </cell>
        </row>
        <row r="1260">
          <cell r="A1260" t="str">
            <v>130212</v>
          </cell>
          <cell r="B1260" t="str">
            <v>JUNTA DE DILATACAO ASFALTICA</v>
          </cell>
          <cell r="C1260" t="str">
            <v>M</v>
          </cell>
          <cell r="D1260">
            <v>2.23</v>
          </cell>
        </row>
        <row r="1261">
          <cell r="A1261" t="str">
            <v>130213</v>
          </cell>
          <cell r="B1261" t="str">
            <v>APLICACAO DE SODA CAUSTICA - SOLO</v>
          </cell>
          <cell r="C1261" t="str">
            <v>M2</v>
          </cell>
          <cell r="D1261">
            <v>0.05</v>
          </cell>
        </row>
        <row r="1263">
          <cell r="A1263" t="str">
            <v>130300</v>
          </cell>
          <cell r="B1263" t="str">
            <v>PINTURAS</v>
          </cell>
        </row>
        <row r="1264">
          <cell r="A1264" t="str">
            <v>130301</v>
          </cell>
          <cell r="B1264" t="str">
            <v>PINTURA A CAL</v>
          </cell>
          <cell r="C1264" t="str">
            <v>M2</v>
          </cell>
          <cell r="D1264">
            <v>3.13</v>
          </cell>
        </row>
        <row r="1265">
          <cell r="A1265" t="str">
            <v>130302</v>
          </cell>
          <cell r="B1265" t="str">
            <v>PINTURA LATEX, SEM MASSA CORRIDA</v>
          </cell>
          <cell r="C1265" t="str">
            <v>M2</v>
          </cell>
          <cell r="D1265">
            <v>9.65</v>
          </cell>
        </row>
        <row r="1266">
          <cell r="A1266" t="str">
            <v>130303</v>
          </cell>
          <cell r="B1266" t="str">
            <v>PINTURA LATEX, COM MASSA CORRIDA</v>
          </cell>
          <cell r="C1266" t="str">
            <v>M2</v>
          </cell>
          <cell r="D1266">
            <v>12.36</v>
          </cell>
        </row>
        <row r="1267">
          <cell r="A1267" t="str">
            <v>130304</v>
          </cell>
          <cell r="B1267" t="str">
            <v>PINTURA A OLEO EM PAREDE, SEM MASSA CORRIDA</v>
          </cell>
          <cell r="C1267" t="str">
            <v>M2</v>
          </cell>
          <cell r="D1267">
            <v>7.78</v>
          </cell>
        </row>
        <row r="1268">
          <cell r="A1268" t="str">
            <v>130305</v>
          </cell>
          <cell r="B1268" t="str">
            <v>PINTURA A OLEO EM PAREDE, COM MASSA CORRIDA</v>
          </cell>
          <cell r="C1268" t="str">
            <v>M2</v>
          </cell>
          <cell r="D1268">
            <v>14.82</v>
          </cell>
        </row>
        <row r="1269">
          <cell r="A1269" t="str">
            <v>130306</v>
          </cell>
          <cell r="B1269" t="str">
            <v>PINTURA A OLEO EM MADEIRA, SEM MASSA CORRIDA</v>
          </cell>
          <cell r="C1269" t="str">
            <v>M2</v>
          </cell>
          <cell r="D1269">
            <v>9.49</v>
          </cell>
        </row>
        <row r="1270">
          <cell r="A1270" t="str">
            <v>130307</v>
          </cell>
          <cell r="B1270" t="str">
            <v>PINTURA A OLEO EM MADEIRA, COM MASSA CORRIDA</v>
          </cell>
          <cell r="C1270" t="str">
            <v>M2</v>
          </cell>
          <cell r="D1270">
            <v>16.350000000000001</v>
          </cell>
        </row>
        <row r="1271">
          <cell r="A1271" t="str">
            <v>130308</v>
          </cell>
          <cell r="B1271" t="str">
            <v>PINTURA A ESMALTE EM MADEIRA, SEM MASSA CORRIDA</v>
          </cell>
          <cell r="C1271" t="str">
            <v>M2</v>
          </cell>
          <cell r="D1271">
            <v>10.42</v>
          </cell>
        </row>
        <row r="1272">
          <cell r="A1272" t="str">
            <v>130309</v>
          </cell>
          <cell r="B1272" t="str">
            <v>PINTURA A ESMALTE EM MADEIRA, COM MASSA CORRIDA</v>
          </cell>
          <cell r="C1272" t="str">
            <v>M2</v>
          </cell>
          <cell r="D1272">
            <v>17.29</v>
          </cell>
        </row>
        <row r="1273">
          <cell r="A1273" t="str">
            <v>130310</v>
          </cell>
          <cell r="B1273" t="str">
            <v>PINTURA A VERNIZ EM MADEIRA</v>
          </cell>
          <cell r="C1273" t="str">
            <v>M2</v>
          </cell>
          <cell r="D1273">
            <v>7.64</v>
          </cell>
        </row>
        <row r="1274">
          <cell r="A1274" t="str">
            <v>130311</v>
          </cell>
          <cell r="B1274" t="str">
            <v>PINTURA GRAFITE EM METAL</v>
          </cell>
          <cell r="C1274" t="str">
            <v>M2</v>
          </cell>
          <cell r="D1274">
            <v>16.39</v>
          </cell>
        </row>
        <row r="1275">
          <cell r="A1275" t="str">
            <v>130312</v>
          </cell>
          <cell r="B1275" t="str">
            <v>PINTURA A OLEO EM METAL</v>
          </cell>
          <cell r="C1275" t="str">
            <v>M2</v>
          </cell>
          <cell r="D1275">
            <v>15.06</v>
          </cell>
        </row>
        <row r="1276">
          <cell r="A1276" t="str">
            <v>130313</v>
          </cell>
          <cell r="B1276" t="str">
            <v>PINTURA A ESMALTE EM METAL</v>
          </cell>
          <cell r="C1276" t="str">
            <v>M2</v>
          </cell>
          <cell r="D1276">
            <v>15.99</v>
          </cell>
        </row>
        <row r="1277">
          <cell r="A1277" t="str">
            <v>130314</v>
          </cell>
          <cell r="B1277" t="str">
            <v>PINTURA COM SILICONE</v>
          </cell>
          <cell r="C1277" t="str">
            <v>M2</v>
          </cell>
          <cell r="D1277">
            <v>9.6199999999999992</v>
          </cell>
        </row>
        <row r="1278">
          <cell r="A1278" t="str">
            <v>130315</v>
          </cell>
          <cell r="B1278" t="str">
            <v>PINTURA COM EPOXI SEM MASSA EPOXI</v>
          </cell>
          <cell r="C1278" t="str">
            <v>M2</v>
          </cell>
          <cell r="D1278">
            <v>40.15</v>
          </cell>
        </row>
        <row r="1279">
          <cell r="A1279" t="str">
            <v>130316</v>
          </cell>
          <cell r="B1279" t="str">
            <v>PINTURA COM EPOXI COM MASSA EPOXI</v>
          </cell>
          <cell r="C1279" t="str">
            <v>M2</v>
          </cell>
          <cell r="D1279">
            <v>52.74</v>
          </cell>
        </row>
        <row r="1280">
          <cell r="A1280" t="str">
            <v>130317</v>
          </cell>
          <cell r="B1280" t="str">
            <v>PINTURA LATEX ACRILICA, SEM MASSA</v>
          </cell>
          <cell r="C1280" t="str">
            <v>M2</v>
          </cell>
          <cell r="D1280">
            <v>13.84</v>
          </cell>
        </row>
        <row r="1281">
          <cell r="A1281" t="str">
            <v>130318</v>
          </cell>
          <cell r="B1281" t="str">
            <v>PINTURA LATEX ACRILICA, COM MASSA</v>
          </cell>
          <cell r="C1281" t="str">
            <v>M2</v>
          </cell>
          <cell r="D1281">
            <v>26.89</v>
          </cell>
        </row>
        <row r="1282">
          <cell r="A1282" t="str">
            <v>130319</v>
          </cell>
          <cell r="B1282" t="str">
            <v>PINTURA DO LOGOTIPO</v>
          </cell>
          <cell r="C1282" t="str">
            <v>UN</v>
          </cell>
          <cell r="D1282">
            <v>176.74</v>
          </cell>
        </row>
        <row r="1283">
          <cell r="A1283" t="str">
            <v>130320</v>
          </cell>
          <cell r="B1283" t="str">
            <v>PINTURA A BASE DE CIMENTO</v>
          </cell>
          <cell r="C1283" t="str">
            <v>M2</v>
          </cell>
          <cell r="D1283">
            <v>4.41</v>
          </cell>
        </row>
        <row r="1284">
          <cell r="A1284" t="str">
            <v>130321</v>
          </cell>
          <cell r="B1284" t="str">
            <v>PINTURA DE PISO COM TINTA NOVA COR OU SIMILAR</v>
          </cell>
          <cell r="C1284" t="str">
            <v>M2</v>
          </cell>
          <cell r="D1284">
            <v>5.83</v>
          </cell>
        </row>
        <row r="1286">
          <cell r="A1286" t="str">
            <v>130400</v>
          </cell>
          <cell r="B1286" t="str">
            <v>ANDAIMES E BALANCINS PARA FACHADA</v>
          </cell>
        </row>
        <row r="1287">
          <cell r="A1287" t="str">
            <v>130401</v>
          </cell>
          <cell r="B1287" t="str">
            <v>ANDAIMES</v>
          </cell>
          <cell r="C1287" t="str">
            <v>M2XME</v>
          </cell>
          <cell r="D1287">
            <v>5.17</v>
          </cell>
        </row>
        <row r="1288">
          <cell r="A1288" t="str">
            <v>130402</v>
          </cell>
          <cell r="B1288" t="str">
            <v>BALANCIM</v>
          </cell>
          <cell r="C1288" t="str">
            <v>UNXME</v>
          </cell>
          <cell r="D1288">
            <v>113.58</v>
          </cell>
        </row>
        <row r="1290">
          <cell r="A1290" t="str">
            <v>140000</v>
          </cell>
          <cell r="B1290" t="str">
            <v>INSTALACOES PREDIAIS</v>
          </cell>
        </row>
        <row r="1291">
          <cell r="A1291" t="str">
            <v>140100</v>
          </cell>
          <cell r="B1291" t="str">
            <v>TUBULACOES E CONEXOES DE AGUA EM PVC RIGIDO</v>
          </cell>
        </row>
        <row r="1292">
          <cell r="A1292" t="str">
            <v>140101</v>
          </cell>
          <cell r="B1292" t="str">
            <v>DIAMETRO 20 MM -DIAM. REF. 1/2 POLEGADA</v>
          </cell>
          <cell r="C1292" t="str">
            <v>M</v>
          </cell>
          <cell r="D1292">
            <v>7.22</v>
          </cell>
        </row>
        <row r="1293">
          <cell r="A1293" t="str">
            <v>140102</v>
          </cell>
          <cell r="B1293" t="str">
            <v>DIAMETRO 25 MM - DIAM. REF. 3/4 POLEGADA</v>
          </cell>
          <cell r="C1293" t="str">
            <v>M</v>
          </cell>
          <cell r="D1293">
            <v>8.85</v>
          </cell>
        </row>
        <row r="1294">
          <cell r="A1294" t="str">
            <v>140103</v>
          </cell>
          <cell r="B1294" t="str">
            <v>DIAMETRO 32 MM - DIAM. REF. 1 POLEGADA</v>
          </cell>
          <cell r="C1294" t="str">
            <v>M</v>
          </cell>
          <cell r="D1294">
            <v>11.5</v>
          </cell>
        </row>
        <row r="1295">
          <cell r="A1295" t="str">
            <v>140104</v>
          </cell>
          <cell r="B1295" t="str">
            <v>DIAMETRO 40 MM - DIAM. REF. 1 1/4 POLEGADA</v>
          </cell>
          <cell r="C1295" t="str">
            <v>M</v>
          </cell>
          <cell r="D1295">
            <v>15.37</v>
          </cell>
        </row>
        <row r="1296">
          <cell r="A1296" t="str">
            <v>140105</v>
          </cell>
          <cell r="B1296" t="str">
            <v>DIAMETRO 50 MM - DIAM. REF. 1 1/2 POLEGADA</v>
          </cell>
          <cell r="C1296" t="str">
            <v>M</v>
          </cell>
          <cell r="D1296">
            <v>16.66</v>
          </cell>
        </row>
        <row r="1297">
          <cell r="A1297" t="str">
            <v>140106</v>
          </cell>
          <cell r="B1297" t="str">
            <v>DIAMETRO 60 MM - DIAM. REF. 2 POLEGADA</v>
          </cell>
          <cell r="C1297" t="str">
            <v>M</v>
          </cell>
          <cell r="D1297">
            <v>20.84</v>
          </cell>
        </row>
        <row r="1298">
          <cell r="A1298" t="str">
            <v>140107</v>
          </cell>
          <cell r="B1298" t="str">
            <v>DIAMETRO 75 MM - DIAM. REF. 2 1/2 POLEGADA</v>
          </cell>
          <cell r="C1298" t="str">
            <v>M</v>
          </cell>
          <cell r="D1298">
            <v>26.16</v>
          </cell>
        </row>
        <row r="1299">
          <cell r="A1299" t="str">
            <v>140108</v>
          </cell>
          <cell r="B1299" t="str">
            <v>DIAMETRO 85 MM - DIAM. REF. 3 POLEGADA</v>
          </cell>
          <cell r="C1299" t="str">
            <v>M</v>
          </cell>
          <cell r="D1299">
            <v>30.7</v>
          </cell>
        </row>
        <row r="1300">
          <cell r="A1300" t="str">
            <v>140109</v>
          </cell>
          <cell r="B1300" t="str">
            <v>DIAMETRO 110MM - DIAM. REF. 4 POLEGADA</v>
          </cell>
          <cell r="C1300" t="str">
            <v>M</v>
          </cell>
          <cell r="D1300">
            <v>42.98</v>
          </cell>
        </row>
        <row r="1302">
          <cell r="A1302" t="str">
            <v>140200</v>
          </cell>
          <cell r="B1302" t="str">
            <v>TUBULACOES E CONEXOES DE AGUA EM FERRO GALVANIZADO</v>
          </cell>
        </row>
        <row r="1303">
          <cell r="A1303" t="str">
            <v>140201</v>
          </cell>
          <cell r="B1303" t="str">
            <v>DIAMETRO 1/2 POLEGADA</v>
          </cell>
          <cell r="C1303" t="str">
            <v>M</v>
          </cell>
          <cell r="D1303">
            <v>13.52</v>
          </cell>
        </row>
        <row r="1304">
          <cell r="A1304" t="str">
            <v>140202</v>
          </cell>
          <cell r="B1304" t="str">
            <v>DIAMETRO 3/4 POLEGADA</v>
          </cell>
          <cell r="C1304" t="str">
            <v>M</v>
          </cell>
          <cell r="D1304">
            <v>17.34</v>
          </cell>
        </row>
        <row r="1305">
          <cell r="A1305" t="str">
            <v>140203</v>
          </cell>
          <cell r="B1305" t="str">
            <v>DIAMETRO 1 POLEGADA</v>
          </cell>
          <cell r="C1305" t="str">
            <v>M</v>
          </cell>
          <cell r="D1305">
            <v>21.86</v>
          </cell>
        </row>
        <row r="1306">
          <cell r="A1306" t="str">
            <v>140204</v>
          </cell>
          <cell r="B1306" t="str">
            <v>DIAMETRO 1 1/4 POLEGADA</v>
          </cell>
          <cell r="C1306" t="str">
            <v>M</v>
          </cell>
          <cell r="D1306">
            <v>23.52</v>
          </cell>
        </row>
        <row r="1307">
          <cell r="A1307" t="str">
            <v>140205</v>
          </cell>
          <cell r="B1307" t="str">
            <v>DIAMETRO 1 1/2 POLEGADA</v>
          </cell>
          <cell r="C1307" t="str">
            <v>M</v>
          </cell>
          <cell r="D1307">
            <v>26.09</v>
          </cell>
        </row>
        <row r="1308">
          <cell r="A1308" t="str">
            <v>140206</v>
          </cell>
          <cell r="B1308" t="str">
            <v>DIAMETRO 2 POLEGADA</v>
          </cell>
          <cell r="C1308" t="str">
            <v>M</v>
          </cell>
          <cell r="D1308">
            <v>31.17</v>
          </cell>
        </row>
        <row r="1310">
          <cell r="A1310" t="str">
            <v>140300</v>
          </cell>
          <cell r="B1310" t="str">
            <v>TUBULACOES E CONEXOES DE ESGOTO EM PVC RIGIDO</v>
          </cell>
        </row>
        <row r="1311">
          <cell r="A1311" t="str">
            <v>140301</v>
          </cell>
          <cell r="B1311" t="str">
            <v>DIAMETRO 40 MM - DIAM. REF. 1 1/4 POLEGADA</v>
          </cell>
          <cell r="C1311" t="str">
            <v>M</v>
          </cell>
          <cell r="D1311">
            <v>17.010000000000002</v>
          </cell>
        </row>
        <row r="1312">
          <cell r="A1312" t="str">
            <v>140302</v>
          </cell>
          <cell r="B1312" t="str">
            <v>DIAMETRO 50 MM - DIAM. REF. 2 POLEGADA</v>
          </cell>
          <cell r="C1312" t="str">
            <v>M</v>
          </cell>
          <cell r="D1312">
            <v>20.170000000000002</v>
          </cell>
        </row>
        <row r="1313">
          <cell r="A1313" t="str">
            <v>140303</v>
          </cell>
          <cell r="B1313" t="str">
            <v>DIAMETRO 75 MM - DIAM. REF. 3 POLEGADA</v>
          </cell>
          <cell r="C1313" t="str">
            <v>M</v>
          </cell>
          <cell r="D1313">
            <v>29.55</v>
          </cell>
        </row>
        <row r="1314">
          <cell r="A1314" t="str">
            <v>140304</v>
          </cell>
          <cell r="B1314" t="str">
            <v>DIAMETRO 100MM - DIAM. REF. 4 POLEGADA</v>
          </cell>
          <cell r="C1314" t="str">
            <v>M</v>
          </cell>
          <cell r="D1314">
            <v>32.81</v>
          </cell>
        </row>
        <row r="1316">
          <cell r="A1316" t="str">
            <v>140400</v>
          </cell>
          <cell r="B1316" t="str">
            <v>PECAS E APARELHOS HIDRAULICO SANITARIOS</v>
          </cell>
        </row>
        <row r="1317">
          <cell r="A1317" t="str">
            <v>140401</v>
          </cell>
          <cell r="B1317" t="str">
            <v>CAIXA SIFONADA DIAMETRO 150 MM</v>
          </cell>
          <cell r="C1317" t="str">
            <v>UN</v>
          </cell>
          <cell r="D1317">
            <v>19.39</v>
          </cell>
        </row>
        <row r="1318">
          <cell r="A1318" t="str">
            <v>140402</v>
          </cell>
          <cell r="B1318" t="str">
            <v>RALO SIFONADO ALT. REGUL. DIAMETRO 100 MM</v>
          </cell>
          <cell r="C1318" t="str">
            <v>UN</v>
          </cell>
          <cell r="D1318">
            <v>12.23</v>
          </cell>
        </row>
        <row r="1319">
          <cell r="A1319" t="str">
            <v>140403</v>
          </cell>
          <cell r="B1319" t="str">
            <v>RALO SECO QUADRADO 100 X 100 MM</v>
          </cell>
          <cell r="C1319" t="str">
            <v>UN</v>
          </cell>
          <cell r="D1319">
            <v>12.12</v>
          </cell>
        </row>
        <row r="1320">
          <cell r="A1320" t="str">
            <v>140404</v>
          </cell>
          <cell r="B1320" t="str">
            <v>GRELHA DE PVC CROMADO, COM PORTA GRELHA, REDONDA DIAMETRO 150 MM</v>
          </cell>
          <cell r="C1320" t="str">
            <v>UN</v>
          </cell>
          <cell r="D1320">
            <v>16.29</v>
          </cell>
        </row>
        <row r="1321">
          <cell r="A1321" t="str">
            <v>140405</v>
          </cell>
          <cell r="B1321" t="str">
            <v>VALVULA DE DESCARGA DIAMETRO 40 MM (1 1/2 POL.)</v>
          </cell>
          <cell r="C1321" t="str">
            <v>UN</v>
          </cell>
          <cell r="D1321">
            <v>64.5</v>
          </cell>
        </row>
        <row r="1322">
          <cell r="A1322" t="str">
            <v>140406</v>
          </cell>
          <cell r="B1322" t="str">
            <v>CAIXA DE DESCARGA</v>
          </cell>
          <cell r="C1322" t="str">
            <v>UN</v>
          </cell>
          <cell r="D1322">
            <v>97.75</v>
          </cell>
        </row>
        <row r="1323">
          <cell r="A1323" t="str">
            <v>140407</v>
          </cell>
          <cell r="B1323" t="str">
            <v>VALVULA DE BOIA</v>
          </cell>
          <cell r="C1323" t="str">
            <v>UN</v>
          </cell>
          <cell r="D1323">
            <v>34.28</v>
          </cell>
        </row>
        <row r="1324">
          <cell r="A1324" t="str">
            <v>140408</v>
          </cell>
          <cell r="B1324" t="str">
            <v>REGISTRO DE PRESSAO COM CANOPLA DIAMETRO INTERNO 20 MM</v>
          </cell>
          <cell r="C1324" t="str">
            <v>UN</v>
          </cell>
          <cell r="D1324">
            <v>38.76</v>
          </cell>
        </row>
        <row r="1325">
          <cell r="A1325" t="str">
            <v>140409</v>
          </cell>
          <cell r="B1325" t="str">
            <v>REGISTRO DE GAVETA CROMADO COM CANOPLA LISA, DIAMETRO INTERNO 20 MM</v>
          </cell>
          <cell r="C1325" t="str">
            <v>UN</v>
          </cell>
          <cell r="D1325">
            <v>35.65</v>
          </cell>
        </row>
        <row r="1326">
          <cell r="A1326" t="str">
            <v>140410</v>
          </cell>
          <cell r="B1326" t="str">
            <v>REGISTRO DE GAVETA CROMADO COM CANOPLA LISA, DIAMETRO INTERNO 25 MM</v>
          </cell>
          <cell r="C1326" t="str">
            <v>UN</v>
          </cell>
          <cell r="D1326">
            <v>37.61</v>
          </cell>
        </row>
        <row r="1327">
          <cell r="A1327" t="str">
            <v>140411</v>
          </cell>
          <cell r="B1327" t="str">
            <v>REGISTRO DE GAVETA CROMADO COM CANOPLA LISA, DIAMETRO INTERNO 32 MM</v>
          </cell>
          <cell r="C1327" t="str">
            <v>UN</v>
          </cell>
          <cell r="D1327">
            <v>55.64</v>
          </cell>
        </row>
        <row r="1328">
          <cell r="A1328" t="str">
            <v>140412</v>
          </cell>
          <cell r="B1328" t="str">
            <v>REGISTRO DE GAVETA CROMADO COM CANOPLA LISA, DIAMETRO INTERNO 40 MM</v>
          </cell>
          <cell r="C1328" t="str">
            <v>UN</v>
          </cell>
          <cell r="D1328">
            <v>58.28</v>
          </cell>
        </row>
        <row r="1329">
          <cell r="A1329" t="str">
            <v>140414</v>
          </cell>
          <cell r="B1329" t="str">
            <v>REGISTRO DE GAVETA, DIAMETRO INTERNO 20 MM</v>
          </cell>
          <cell r="C1329" t="str">
            <v>UN</v>
          </cell>
          <cell r="D1329">
            <v>16.77</v>
          </cell>
        </row>
        <row r="1330">
          <cell r="A1330" t="str">
            <v>140415</v>
          </cell>
          <cell r="B1330" t="str">
            <v>REGISTRO DE GAVETA, DIAMETRO INTERNO 25 MM</v>
          </cell>
          <cell r="C1330" t="str">
            <v>UN</v>
          </cell>
          <cell r="D1330">
            <v>22.15</v>
          </cell>
        </row>
        <row r="1331">
          <cell r="A1331" t="str">
            <v>140416</v>
          </cell>
          <cell r="B1331" t="str">
            <v>REGISTRO DE GAVETA, DIAMETRO INTERNO 32 MM</v>
          </cell>
          <cell r="C1331" t="str">
            <v>UN</v>
          </cell>
          <cell r="D1331">
            <v>27.71</v>
          </cell>
        </row>
        <row r="1332">
          <cell r="A1332" t="str">
            <v>140417</v>
          </cell>
          <cell r="B1332" t="str">
            <v>REGISTRO DE GAVETA, DIAMETRO INTERNO 40 MM</v>
          </cell>
          <cell r="C1332" t="str">
            <v>UN</v>
          </cell>
          <cell r="D1332">
            <v>34.65</v>
          </cell>
        </row>
        <row r="1333">
          <cell r="A1333" t="str">
            <v>140418</v>
          </cell>
          <cell r="B1333" t="str">
            <v>REGISTRO DE GAVETA, DIAMETRO INTERNO 50 MM</v>
          </cell>
          <cell r="C1333" t="str">
            <v>UN</v>
          </cell>
          <cell r="D1333">
            <v>51.77</v>
          </cell>
        </row>
        <row r="1334">
          <cell r="A1334" t="str">
            <v>140419</v>
          </cell>
          <cell r="B1334" t="str">
            <v>CAIXA D'AGUA DE 250 LITROS</v>
          </cell>
          <cell r="C1334" t="str">
            <v>UN</v>
          </cell>
          <cell r="D1334">
            <v>101.54</v>
          </cell>
        </row>
        <row r="1335">
          <cell r="A1335" t="str">
            <v>140420</v>
          </cell>
          <cell r="B1335" t="str">
            <v>CAIXA D'AGUA DE 500 LITROS</v>
          </cell>
          <cell r="C1335" t="str">
            <v>UN</v>
          </cell>
          <cell r="D1335">
            <v>126.01</v>
          </cell>
        </row>
        <row r="1336">
          <cell r="A1336" t="str">
            <v>140421</v>
          </cell>
          <cell r="B1336" t="str">
            <v>CAIXA D'AGUA DE 1.000 LITROS</v>
          </cell>
          <cell r="C1336" t="str">
            <v>UN</v>
          </cell>
          <cell r="D1336">
            <v>276.82</v>
          </cell>
        </row>
        <row r="1337">
          <cell r="A1337" t="str">
            <v>140422</v>
          </cell>
          <cell r="B1337" t="str">
            <v>BACIA SANITARIA</v>
          </cell>
          <cell r="C1337" t="str">
            <v>UN</v>
          </cell>
          <cell r="D1337">
            <v>153.49</v>
          </cell>
        </row>
        <row r="1338">
          <cell r="A1338" t="str">
            <v>140423</v>
          </cell>
          <cell r="B1338" t="str">
            <v>LAVATORIO</v>
          </cell>
          <cell r="C1338" t="str">
            <v>UN</v>
          </cell>
          <cell r="D1338">
            <v>133.53</v>
          </cell>
        </row>
        <row r="1339">
          <cell r="A1339" t="str">
            <v>140424</v>
          </cell>
          <cell r="B1339" t="str">
            <v>ARMARIO PARA BANHEIRO</v>
          </cell>
          <cell r="C1339" t="str">
            <v>UN</v>
          </cell>
          <cell r="D1339">
            <v>77.59</v>
          </cell>
        </row>
        <row r="1340">
          <cell r="A1340" t="str">
            <v>140425</v>
          </cell>
          <cell r="B1340" t="str">
            <v>PAPELEIRA</v>
          </cell>
          <cell r="C1340" t="str">
            <v>UN</v>
          </cell>
          <cell r="D1340">
            <v>22.87</v>
          </cell>
        </row>
        <row r="1341">
          <cell r="A1341" t="str">
            <v>140426</v>
          </cell>
          <cell r="B1341" t="str">
            <v>SABONETEIRA</v>
          </cell>
          <cell r="C1341" t="str">
            <v>UN</v>
          </cell>
          <cell r="D1341">
            <v>24.6</v>
          </cell>
        </row>
        <row r="1342">
          <cell r="A1342" t="str">
            <v>140427</v>
          </cell>
          <cell r="B1342" t="str">
            <v>PORTA TOALHA</v>
          </cell>
          <cell r="C1342" t="str">
            <v>UN</v>
          </cell>
          <cell r="D1342">
            <v>22.41</v>
          </cell>
        </row>
        <row r="1343">
          <cell r="A1343" t="str">
            <v>140428</v>
          </cell>
          <cell r="B1343" t="str">
            <v>CHUVEIRO</v>
          </cell>
          <cell r="C1343" t="str">
            <v>UN</v>
          </cell>
          <cell r="D1343">
            <v>48.46</v>
          </cell>
        </row>
        <row r="1344">
          <cell r="A1344" t="str">
            <v>140429</v>
          </cell>
          <cell r="B1344" t="str">
            <v>TORNEIRA CROMADA, LONGA PARA PIA</v>
          </cell>
          <cell r="C1344" t="str">
            <v>UN</v>
          </cell>
          <cell r="D1344">
            <v>130.07</v>
          </cell>
        </row>
        <row r="1345">
          <cell r="A1345" t="str">
            <v>140430</v>
          </cell>
          <cell r="B1345" t="str">
            <v>TORNEIRA CROMADA PARA JARDIM</v>
          </cell>
          <cell r="C1345" t="str">
            <v>UN</v>
          </cell>
          <cell r="D1345">
            <v>58.85</v>
          </cell>
        </row>
        <row r="1346">
          <cell r="A1346" t="str">
            <v>140431</v>
          </cell>
          <cell r="B1346" t="str">
            <v>TORNEIRA SIMPLES PARA JARDIM</v>
          </cell>
          <cell r="C1346" t="str">
            <v>UN</v>
          </cell>
          <cell r="D1346">
            <v>26.93</v>
          </cell>
        </row>
        <row r="1347">
          <cell r="A1347" t="str">
            <v>140432</v>
          </cell>
          <cell r="B1347" t="str">
            <v>PIA DE ACO INOX (4,00 X 0,60)M COM CUBA DE (0,56 X 0,33 X 0,16)M</v>
          </cell>
          <cell r="C1347" t="str">
            <v>UN</v>
          </cell>
          <cell r="D1347">
            <v>1123.46</v>
          </cell>
        </row>
        <row r="1348">
          <cell r="A1348" t="str">
            <v>140433</v>
          </cell>
          <cell r="B1348" t="str">
            <v>PIA DE ACO INOX (3,60 X 0,60)M COM CUBA DE (0,56 X 0,33 X 0,16)M</v>
          </cell>
          <cell r="C1348" t="str">
            <v>UN</v>
          </cell>
          <cell r="D1348">
            <v>1018</v>
          </cell>
        </row>
        <row r="1349">
          <cell r="A1349" t="str">
            <v>140434</v>
          </cell>
          <cell r="B1349" t="str">
            <v>PIA DE ACO INOX (3,00 X 0,60)M COM CUBA DE (0,56 X 0,33 X 0,16)M</v>
          </cell>
          <cell r="C1349" t="str">
            <v>UN</v>
          </cell>
          <cell r="D1349">
            <v>859.77</v>
          </cell>
        </row>
        <row r="1350">
          <cell r="A1350" t="str">
            <v>140435</v>
          </cell>
          <cell r="B1350" t="str">
            <v>PIA DE ACO INOX (4,00 X 0,60)M COM CUBA DE (0,50 X 0,40 X 0,40)M</v>
          </cell>
          <cell r="C1350" t="str">
            <v>UN</v>
          </cell>
          <cell r="D1350">
            <v>1417.46</v>
          </cell>
        </row>
        <row r="1351">
          <cell r="A1351" t="str">
            <v>140436</v>
          </cell>
          <cell r="B1351" t="str">
            <v>PIA DE ACO INOX (3,60 X 0,60)M COM CUBA DE (0,50 X 0,40 X 0,40)M</v>
          </cell>
          <cell r="C1351" t="str">
            <v>UN</v>
          </cell>
          <cell r="D1351">
            <v>1311.99</v>
          </cell>
        </row>
        <row r="1352">
          <cell r="A1352" t="str">
            <v>140437</v>
          </cell>
          <cell r="B1352" t="str">
            <v>PIA DE ACO INOX (3,00 X 0,60)M COM CUBA DE (0,50 X 0,40 X 0,40)M</v>
          </cell>
          <cell r="C1352" t="str">
            <v>UN</v>
          </cell>
          <cell r="D1352">
            <v>1153.77</v>
          </cell>
        </row>
        <row r="1353">
          <cell r="A1353" t="str">
            <v>140438</v>
          </cell>
          <cell r="B1353" t="str">
            <v>PIA DE ACO INOX (4,00 X 0,60)M COM CUBA DE (1,12 X 0,50 X 0,40)M</v>
          </cell>
          <cell r="C1353" t="str">
            <v>UN</v>
          </cell>
          <cell r="D1353">
            <v>2046.19</v>
          </cell>
        </row>
        <row r="1354">
          <cell r="A1354" t="str">
            <v>140439</v>
          </cell>
          <cell r="B1354" t="str">
            <v>PIA DE ACO INOX (3,60 X 0,60)M COM CUBA DE (1,12 X 0,50 X 0,40)M</v>
          </cell>
          <cell r="C1354" t="str">
            <v>UN</v>
          </cell>
          <cell r="D1354">
            <v>1940.72</v>
          </cell>
        </row>
        <row r="1355">
          <cell r="A1355" t="str">
            <v>140440</v>
          </cell>
          <cell r="B1355" t="str">
            <v>PIA DE ACO INOX (3,00 X 0,60)M COM CUBA DE (1,12 X 0,50 X 0,40)M</v>
          </cell>
          <cell r="C1355" t="str">
            <v>UN</v>
          </cell>
          <cell r="D1355">
            <v>1782.5</v>
          </cell>
        </row>
        <row r="1356">
          <cell r="A1356" t="str">
            <v>140441</v>
          </cell>
          <cell r="B1356" t="str">
            <v>PIA DE MARMORE (1,60 X 0,60)M - COM CUBA</v>
          </cell>
          <cell r="C1356" t="str">
            <v>UN</v>
          </cell>
          <cell r="D1356">
            <v>339.78</v>
          </cell>
        </row>
        <row r="1357">
          <cell r="A1357" t="str">
            <v>140442</v>
          </cell>
          <cell r="B1357" t="str">
            <v>PIA DE MARMORE (2,10 X 0,60)M - COM CUBA</v>
          </cell>
          <cell r="C1357" t="str">
            <v>UN</v>
          </cell>
          <cell r="D1357">
            <v>418.27</v>
          </cell>
        </row>
        <row r="1359">
          <cell r="A1359" t="str">
            <v>140500</v>
          </cell>
          <cell r="B1359" t="str">
            <v>FOSSAS E POCOS</v>
          </cell>
        </row>
        <row r="1360">
          <cell r="A1360" t="str">
            <v>140501</v>
          </cell>
          <cell r="B1360" t="str">
            <v>FOSSA SEPTICA</v>
          </cell>
          <cell r="C1360" t="str">
            <v>UN</v>
          </cell>
          <cell r="D1360">
            <v>233.84</v>
          </cell>
        </row>
        <row r="1361">
          <cell r="A1361" t="str">
            <v>140502</v>
          </cell>
          <cell r="B1361" t="str">
            <v>POCO ABSORVENTE</v>
          </cell>
          <cell r="C1361" t="str">
            <v>UN</v>
          </cell>
          <cell r="D1361">
            <v>664.72</v>
          </cell>
        </row>
        <row r="1363">
          <cell r="A1363" t="str">
            <v>140600</v>
          </cell>
          <cell r="B1363" t="str">
            <v>FIOS ELETRICOS</v>
          </cell>
        </row>
        <row r="1364">
          <cell r="A1364" t="str">
            <v>140601</v>
          </cell>
          <cell r="B1364" t="str">
            <v>FIO 0,75 MM2 - N. 18</v>
          </cell>
          <cell r="C1364" t="str">
            <v>M</v>
          </cell>
          <cell r="D1364">
            <v>1.44</v>
          </cell>
        </row>
        <row r="1365">
          <cell r="A1365" t="str">
            <v>140602</v>
          </cell>
          <cell r="B1365" t="str">
            <v>FIO 1,00 MM2 - N. 16</v>
          </cell>
          <cell r="C1365" t="str">
            <v>M</v>
          </cell>
          <cell r="D1365">
            <v>1.68</v>
          </cell>
        </row>
        <row r="1366">
          <cell r="A1366" t="str">
            <v>140603</v>
          </cell>
          <cell r="B1366" t="str">
            <v>FIO 1,50 MM2 - N. 14</v>
          </cell>
          <cell r="C1366" t="str">
            <v>M</v>
          </cell>
          <cell r="D1366">
            <v>1.92</v>
          </cell>
        </row>
        <row r="1367">
          <cell r="A1367" t="str">
            <v>140604</v>
          </cell>
          <cell r="B1367" t="str">
            <v>FIO 2,50 MM2 - N. 12</v>
          </cell>
          <cell r="C1367" t="str">
            <v>M</v>
          </cell>
          <cell r="D1367">
            <v>2.23</v>
          </cell>
        </row>
        <row r="1368">
          <cell r="A1368" t="str">
            <v>140605</v>
          </cell>
          <cell r="B1368" t="str">
            <v>FIO 4,00 MM2 - N. 10</v>
          </cell>
          <cell r="C1368" t="str">
            <v>M</v>
          </cell>
          <cell r="D1368">
            <v>2.68</v>
          </cell>
        </row>
        <row r="1369">
          <cell r="A1369" t="str">
            <v>140606</v>
          </cell>
          <cell r="B1369" t="str">
            <v>FIO 6,00 MM2 - N. 8</v>
          </cell>
          <cell r="C1369" t="str">
            <v>M</v>
          </cell>
          <cell r="D1369">
            <v>3.17</v>
          </cell>
        </row>
        <row r="1370">
          <cell r="A1370" t="str">
            <v>140607</v>
          </cell>
          <cell r="B1370" t="str">
            <v>FIO 10,00MM2 - N. 6</v>
          </cell>
          <cell r="C1370" t="str">
            <v>M</v>
          </cell>
          <cell r="D1370">
            <v>4.24</v>
          </cell>
        </row>
        <row r="1371">
          <cell r="A1371" t="str">
            <v>140608</v>
          </cell>
          <cell r="B1371" t="str">
            <v>FIO 16,00MM2 - N. 4</v>
          </cell>
          <cell r="C1371" t="str">
            <v>M</v>
          </cell>
          <cell r="D1371">
            <v>5.63</v>
          </cell>
        </row>
        <row r="1373">
          <cell r="A1373" t="str">
            <v>140700</v>
          </cell>
          <cell r="B1373" t="str">
            <v>CABOS ELETRICOS</v>
          </cell>
        </row>
        <row r="1374">
          <cell r="A1374" t="str">
            <v>140701</v>
          </cell>
          <cell r="B1374" t="str">
            <v>CABO 1,5 MM2 - N. 14</v>
          </cell>
          <cell r="C1374" t="str">
            <v>M</v>
          </cell>
          <cell r="D1374">
            <v>1.96</v>
          </cell>
        </row>
        <row r="1375">
          <cell r="A1375" t="str">
            <v>140702</v>
          </cell>
          <cell r="B1375" t="str">
            <v>CABO 2,5 MM2 - N. 12</v>
          </cell>
          <cell r="C1375" t="str">
            <v>M</v>
          </cell>
          <cell r="D1375">
            <v>2.34</v>
          </cell>
        </row>
        <row r="1376">
          <cell r="A1376" t="str">
            <v>140703</v>
          </cell>
          <cell r="B1376" t="str">
            <v>CABO 4,0 MM2 - N. 10</v>
          </cell>
          <cell r="C1376" t="str">
            <v>M</v>
          </cell>
          <cell r="D1376">
            <v>2.77</v>
          </cell>
        </row>
        <row r="1377">
          <cell r="A1377" t="str">
            <v>140704</v>
          </cell>
          <cell r="B1377" t="str">
            <v>CABO 6,0 MM2 - N. 8</v>
          </cell>
          <cell r="C1377" t="str">
            <v>M</v>
          </cell>
          <cell r="D1377">
            <v>3.25</v>
          </cell>
        </row>
        <row r="1378">
          <cell r="A1378" t="str">
            <v>140705</v>
          </cell>
          <cell r="B1378" t="str">
            <v>CABO 10,0 MM2 - N. 6</v>
          </cell>
          <cell r="C1378" t="str">
            <v>M</v>
          </cell>
          <cell r="D1378">
            <v>4.4000000000000004</v>
          </cell>
        </row>
        <row r="1379">
          <cell r="A1379" t="str">
            <v>140706</v>
          </cell>
          <cell r="B1379" t="str">
            <v>CABO 16,0 MM2 - N. 4</v>
          </cell>
          <cell r="C1379" t="str">
            <v>M</v>
          </cell>
          <cell r="D1379">
            <v>5.83</v>
          </cell>
        </row>
        <row r="1380">
          <cell r="A1380" t="str">
            <v>140707</v>
          </cell>
          <cell r="B1380" t="str">
            <v>CABO 25,0 MM2 - N. 2</v>
          </cell>
          <cell r="C1380" t="str">
            <v>M</v>
          </cell>
          <cell r="D1380">
            <v>7.83</v>
          </cell>
        </row>
        <row r="1381">
          <cell r="A1381" t="str">
            <v>140708</v>
          </cell>
          <cell r="B1381" t="str">
            <v>CABO 35,0 MM2 - N. 1/0</v>
          </cell>
          <cell r="C1381" t="str">
            <v>M</v>
          </cell>
          <cell r="D1381">
            <v>10.36</v>
          </cell>
        </row>
        <row r="1382">
          <cell r="A1382" t="str">
            <v>140709</v>
          </cell>
          <cell r="B1382" t="str">
            <v>CABO 50,0 MM2 - N. 2/0</v>
          </cell>
          <cell r="C1382" t="str">
            <v>M</v>
          </cell>
          <cell r="D1382">
            <v>14.76</v>
          </cell>
        </row>
        <row r="1383">
          <cell r="A1383" t="str">
            <v>140710</v>
          </cell>
          <cell r="B1383" t="str">
            <v>CABO 70,0 MM2 - N. 3/0</v>
          </cell>
          <cell r="C1383" t="str">
            <v>M</v>
          </cell>
          <cell r="D1383">
            <v>18.91</v>
          </cell>
        </row>
        <row r="1384">
          <cell r="A1384" t="str">
            <v>140711</v>
          </cell>
          <cell r="B1384" t="str">
            <v>CABO 95,0 MM2 - N. 4/0</v>
          </cell>
          <cell r="C1384" t="str">
            <v>M</v>
          </cell>
          <cell r="D1384">
            <v>24.57</v>
          </cell>
        </row>
        <row r="1385">
          <cell r="A1385" t="str">
            <v>140712</v>
          </cell>
          <cell r="B1385" t="str">
            <v>CABO 120,0 MM2 - N. 250</v>
          </cell>
          <cell r="C1385" t="str">
            <v>M</v>
          </cell>
          <cell r="D1385">
            <v>31.72</v>
          </cell>
        </row>
        <row r="1387">
          <cell r="A1387" t="str">
            <v>140800</v>
          </cell>
          <cell r="B1387" t="str">
            <v>CABO DE COBRE NU</v>
          </cell>
        </row>
        <row r="1388">
          <cell r="A1388" t="str">
            <v>140801</v>
          </cell>
          <cell r="B1388" t="str">
            <v>CABO DE COBRE NU 2,5 MM2</v>
          </cell>
          <cell r="C1388" t="str">
            <v>M</v>
          </cell>
          <cell r="D1388">
            <v>2.08</v>
          </cell>
        </row>
        <row r="1389">
          <cell r="A1389" t="str">
            <v>140802</v>
          </cell>
          <cell r="B1389" t="str">
            <v>CABO DE COBRE NU 10,0 MM2</v>
          </cell>
          <cell r="C1389" t="str">
            <v>M</v>
          </cell>
          <cell r="D1389">
            <v>3.72</v>
          </cell>
        </row>
        <row r="1390">
          <cell r="A1390" t="str">
            <v>140803</v>
          </cell>
          <cell r="B1390" t="str">
            <v>CABO DE COBRE NU 35,0 MM2</v>
          </cell>
          <cell r="C1390" t="str">
            <v>M</v>
          </cell>
          <cell r="D1390">
            <v>8.7100000000000009</v>
          </cell>
        </row>
        <row r="1391">
          <cell r="A1391" t="str">
            <v>140804</v>
          </cell>
          <cell r="B1391" t="str">
            <v>CABO DE COBRE NU 70,0 MM2</v>
          </cell>
          <cell r="C1391" t="str">
            <v>M</v>
          </cell>
          <cell r="D1391">
            <v>15.81</v>
          </cell>
        </row>
        <row r="1392">
          <cell r="A1392" t="str">
            <v>140805</v>
          </cell>
          <cell r="B1392" t="str">
            <v>CABO DE COBRE NU 120,0 MM2</v>
          </cell>
          <cell r="C1392" t="str">
            <v>M</v>
          </cell>
          <cell r="D1392">
            <v>24.16</v>
          </cell>
        </row>
        <row r="1394">
          <cell r="A1394" t="str">
            <v>140900</v>
          </cell>
          <cell r="B1394" t="str">
            <v>ELETRODUTOS DE PVC</v>
          </cell>
        </row>
        <row r="1395">
          <cell r="A1395" t="str">
            <v>140901</v>
          </cell>
          <cell r="B1395" t="str">
            <v>DIAMETRO   1/2 POLEGADA</v>
          </cell>
          <cell r="C1395" t="str">
            <v>M</v>
          </cell>
          <cell r="D1395">
            <v>5.98</v>
          </cell>
        </row>
        <row r="1396">
          <cell r="A1396" t="str">
            <v>140902</v>
          </cell>
          <cell r="B1396" t="str">
            <v>DIAMETRO   3/4 POLEGADA</v>
          </cell>
          <cell r="C1396" t="str">
            <v>M</v>
          </cell>
          <cell r="D1396">
            <v>6.53</v>
          </cell>
        </row>
        <row r="1397">
          <cell r="A1397" t="str">
            <v>140903</v>
          </cell>
          <cell r="B1397" t="str">
            <v>DIAMETRO 1     POLEGADA</v>
          </cell>
          <cell r="C1397" t="str">
            <v>M</v>
          </cell>
          <cell r="D1397">
            <v>9.74</v>
          </cell>
        </row>
        <row r="1398">
          <cell r="A1398" t="str">
            <v>140904</v>
          </cell>
          <cell r="B1398" t="str">
            <v>DIAMETRO 1 1/4 POLEGADA</v>
          </cell>
          <cell r="C1398" t="str">
            <v>M</v>
          </cell>
          <cell r="D1398">
            <v>11.63</v>
          </cell>
        </row>
        <row r="1399">
          <cell r="A1399" t="str">
            <v>140905</v>
          </cell>
          <cell r="B1399" t="str">
            <v>DIAMETRO 1 1/2 POLEGADA</v>
          </cell>
          <cell r="C1399" t="str">
            <v>M</v>
          </cell>
          <cell r="D1399">
            <v>14.16</v>
          </cell>
        </row>
        <row r="1400">
          <cell r="A1400" t="str">
            <v>140906</v>
          </cell>
          <cell r="B1400" t="str">
            <v>DIAMETRO 2     POLEGADA</v>
          </cell>
          <cell r="C1400" t="str">
            <v>M</v>
          </cell>
          <cell r="D1400">
            <v>17.21</v>
          </cell>
        </row>
        <row r="1401">
          <cell r="A1401" t="str">
            <v>140907</v>
          </cell>
          <cell r="B1401" t="str">
            <v>DIAMETRO 2 1/2 POLEGADA</v>
          </cell>
          <cell r="C1401" t="str">
            <v>M</v>
          </cell>
          <cell r="D1401">
            <v>27.37</v>
          </cell>
        </row>
        <row r="1402">
          <cell r="A1402" t="str">
            <v>140908</v>
          </cell>
          <cell r="B1402" t="str">
            <v>DIAMETRO 3    POLEGADA</v>
          </cell>
          <cell r="C1402" t="str">
            <v>M</v>
          </cell>
          <cell r="D1402">
            <v>32.18</v>
          </cell>
        </row>
        <row r="1403">
          <cell r="A1403" t="str">
            <v>140909</v>
          </cell>
          <cell r="B1403" t="str">
            <v>DIAMETRO 4    POLEGADA</v>
          </cell>
          <cell r="C1403" t="str">
            <v>M</v>
          </cell>
          <cell r="D1403">
            <v>44.14</v>
          </cell>
        </row>
        <row r="1405">
          <cell r="A1405" t="str">
            <v>141000</v>
          </cell>
          <cell r="B1405" t="str">
            <v>ELETRODUTOS DE FERRO ESMALTADO</v>
          </cell>
        </row>
        <row r="1406">
          <cell r="A1406" t="str">
            <v>141001</v>
          </cell>
          <cell r="B1406" t="str">
            <v>DIAMETRO   1/2 POLEGADA</v>
          </cell>
          <cell r="C1406" t="str">
            <v>M</v>
          </cell>
          <cell r="D1406">
            <v>6.7</v>
          </cell>
        </row>
        <row r="1407">
          <cell r="A1407" t="str">
            <v>141002</v>
          </cell>
          <cell r="B1407" t="str">
            <v>DIAMETRO   3/4 POLEGADA</v>
          </cell>
          <cell r="C1407" t="str">
            <v>M</v>
          </cell>
          <cell r="D1407">
            <v>9.68</v>
          </cell>
        </row>
        <row r="1408">
          <cell r="A1408" t="str">
            <v>141003</v>
          </cell>
          <cell r="B1408" t="str">
            <v>DIAMETRO 1     POLEGADA</v>
          </cell>
          <cell r="C1408" t="str">
            <v>M</v>
          </cell>
          <cell r="D1408">
            <v>13</v>
          </cell>
        </row>
        <row r="1409">
          <cell r="A1409" t="str">
            <v>141004</v>
          </cell>
          <cell r="B1409" t="str">
            <v>DIAMETRO 1 1/4 POLEGADA</v>
          </cell>
          <cell r="C1409" t="str">
            <v>M</v>
          </cell>
          <cell r="D1409">
            <v>19.05</v>
          </cell>
        </row>
        <row r="1410">
          <cell r="A1410" t="str">
            <v>141005</v>
          </cell>
          <cell r="B1410" t="str">
            <v>DIAMETRO 1 1/2 POLEGADA</v>
          </cell>
          <cell r="C1410" t="str">
            <v>M</v>
          </cell>
          <cell r="D1410">
            <v>22.57</v>
          </cell>
        </row>
        <row r="1411">
          <cell r="A1411" t="str">
            <v>141006</v>
          </cell>
          <cell r="B1411" t="str">
            <v>DIAMETRO 2     POLEGADA</v>
          </cell>
          <cell r="C1411" t="str">
            <v>M</v>
          </cell>
          <cell r="D1411">
            <v>27.29</v>
          </cell>
        </row>
        <row r="1412">
          <cell r="A1412" t="str">
            <v>141007</v>
          </cell>
          <cell r="B1412" t="str">
            <v>DIAMETRO 2 1/2 POLEGADA</v>
          </cell>
          <cell r="C1412" t="str">
            <v>M</v>
          </cell>
          <cell r="D1412">
            <v>41.64</v>
          </cell>
        </row>
        <row r="1413">
          <cell r="A1413" t="str">
            <v>141008</v>
          </cell>
          <cell r="B1413" t="str">
            <v>DIAMETRO 3    POLEGADA</v>
          </cell>
          <cell r="C1413" t="str">
            <v>M</v>
          </cell>
          <cell r="D1413">
            <v>48.89</v>
          </cell>
        </row>
        <row r="1414">
          <cell r="A1414" t="str">
            <v>141009</v>
          </cell>
          <cell r="B1414" t="str">
            <v>DIAMETRO 3 1/2 POLEGADAS</v>
          </cell>
          <cell r="C1414" t="str">
            <v>M</v>
          </cell>
          <cell r="D1414">
            <v>56.97</v>
          </cell>
        </row>
        <row r="1415">
          <cell r="A1415" t="str">
            <v>141010</v>
          </cell>
          <cell r="B1415" t="str">
            <v>DIAMETRO 4    POLEGADA</v>
          </cell>
          <cell r="C1415" t="str">
            <v>M</v>
          </cell>
          <cell r="D1415">
            <v>64.11</v>
          </cell>
        </row>
        <row r="1417">
          <cell r="A1417" t="str">
            <v>141100</v>
          </cell>
          <cell r="B1417" t="str">
            <v>ELETRODUTO DE FERRO GALVANIZADO</v>
          </cell>
        </row>
        <row r="1418">
          <cell r="A1418" t="str">
            <v>141101</v>
          </cell>
          <cell r="B1418" t="str">
            <v>DIAMETRO   3/4 POLEGADA</v>
          </cell>
          <cell r="C1418" t="str">
            <v>M</v>
          </cell>
          <cell r="D1418">
            <v>11.47</v>
          </cell>
        </row>
        <row r="1419">
          <cell r="A1419" t="str">
            <v>141102</v>
          </cell>
          <cell r="B1419" t="str">
            <v>DIAMETRO 1     POLEGADA</v>
          </cell>
          <cell r="C1419" t="str">
            <v>M</v>
          </cell>
          <cell r="D1419">
            <v>14.01</v>
          </cell>
        </row>
        <row r="1420">
          <cell r="A1420" t="str">
            <v>141103</v>
          </cell>
          <cell r="B1420" t="str">
            <v>DIAMETRO 1 1/4 POLEGADA</v>
          </cell>
          <cell r="C1420" t="str">
            <v>M</v>
          </cell>
          <cell r="D1420">
            <v>18.93</v>
          </cell>
        </row>
        <row r="1421">
          <cell r="A1421" t="str">
            <v>141104</v>
          </cell>
          <cell r="B1421" t="str">
            <v>DIAMETRO 1 1/2 POLEGADA</v>
          </cell>
          <cell r="C1421" t="str">
            <v>M</v>
          </cell>
          <cell r="D1421">
            <v>20.78</v>
          </cell>
        </row>
        <row r="1422">
          <cell r="A1422" t="str">
            <v>141105</v>
          </cell>
          <cell r="B1422" t="str">
            <v>DIAMETRO 2     POLEGADA</v>
          </cell>
          <cell r="C1422" t="str">
            <v>M</v>
          </cell>
          <cell r="D1422">
            <v>25.23</v>
          </cell>
        </row>
        <row r="1423">
          <cell r="A1423" t="str">
            <v>141106</v>
          </cell>
          <cell r="B1423" t="str">
            <v>DIAMETRO 2 1/2 POLEGADA</v>
          </cell>
          <cell r="C1423" t="str">
            <v>M</v>
          </cell>
          <cell r="D1423">
            <v>42.18</v>
          </cell>
        </row>
        <row r="1424">
          <cell r="A1424" t="str">
            <v>141107</v>
          </cell>
          <cell r="B1424" t="str">
            <v>DIAMETRO 3    POLEGADA</v>
          </cell>
          <cell r="C1424" t="str">
            <v>M</v>
          </cell>
          <cell r="D1424">
            <v>50.77</v>
          </cell>
        </row>
        <row r="1425">
          <cell r="A1425" t="str">
            <v>141108</v>
          </cell>
          <cell r="B1425" t="str">
            <v>DIAMETRO 3 1/2 POLEGADA</v>
          </cell>
          <cell r="C1425" t="str">
            <v>M .</v>
          </cell>
          <cell r="D1425">
            <v>57.82</v>
          </cell>
        </row>
        <row r="1426">
          <cell r="A1426" t="str">
            <v>141109</v>
          </cell>
          <cell r="B1426" t="str">
            <v>DIAMETRO 4    POLEGADA</v>
          </cell>
          <cell r="C1426" t="str">
            <v>M</v>
          </cell>
          <cell r="D1426">
            <v>66.2</v>
          </cell>
        </row>
        <row r="1428">
          <cell r="A1428" t="str">
            <v>141200</v>
          </cell>
          <cell r="B1428" t="str">
            <v>ELETRODUTO DE POLIETILENO FLEXIVEL</v>
          </cell>
        </row>
        <row r="1429">
          <cell r="A1429" t="str">
            <v>141201</v>
          </cell>
          <cell r="B1429" t="str">
            <v>DIAMETRO   1/2 POLEGADA</v>
          </cell>
          <cell r="C1429" t="str">
            <v>M</v>
          </cell>
          <cell r="D1429">
            <v>6.34</v>
          </cell>
        </row>
        <row r="1430">
          <cell r="A1430" t="str">
            <v>141202</v>
          </cell>
          <cell r="B1430" t="str">
            <v>DIAMETRO   3/4 POLEGADA</v>
          </cell>
          <cell r="C1430" t="str">
            <v>M</v>
          </cell>
          <cell r="D1430">
            <v>6.95</v>
          </cell>
        </row>
        <row r="1431">
          <cell r="A1431" t="str">
            <v>141203</v>
          </cell>
          <cell r="B1431" t="str">
            <v>DIAMETRO 1     POLEGADA</v>
          </cell>
          <cell r="C1431" t="str">
            <v>M</v>
          </cell>
          <cell r="D1431">
            <v>9.0299999999999994</v>
          </cell>
        </row>
        <row r="1432">
          <cell r="A1432" t="str">
            <v>141204</v>
          </cell>
          <cell r="B1432" t="str">
            <v>DIAMETRO 1 1/2 POLEGADA</v>
          </cell>
          <cell r="C1432" t="str">
            <v>M</v>
          </cell>
          <cell r="D1432">
            <v>16.23</v>
          </cell>
        </row>
        <row r="1433">
          <cell r="A1433" t="str">
            <v>141205</v>
          </cell>
          <cell r="B1433" t="str">
            <v>DIAMETRO 2     POLEGADA</v>
          </cell>
          <cell r="C1433" t="str">
            <v>M</v>
          </cell>
          <cell r="D1433">
            <v>22.15</v>
          </cell>
        </row>
        <row r="1435">
          <cell r="A1435" t="str">
            <v>141300</v>
          </cell>
          <cell r="B1435" t="str">
            <v>PECAS E APARELHOS ELETRICOS</v>
          </cell>
        </row>
        <row r="1436">
          <cell r="A1436" t="str">
            <v>141301</v>
          </cell>
          <cell r="B1436" t="str">
            <v>CAIXA DE FERRO 4 X 4 POLEGADA, OCTOG.</v>
          </cell>
          <cell r="C1436" t="str">
            <v>UN</v>
          </cell>
          <cell r="D1436">
            <v>5</v>
          </cell>
        </row>
        <row r="1437">
          <cell r="A1437" t="str">
            <v>141302</v>
          </cell>
          <cell r="B1437" t="str">
            <v>CAIXA DE FERRO 3 X 3 POLEGADA, SEXTAV.</v>
          </cell>
          <cell r="C1437" t="str">
            <v>UN</v>
          </cell>
          <cell r="D1437">
            <v>3.45</v>
          </cell>
        </row>
        <row r="1438">
          <cell r="A1438" t="str">
            <v>141303</v>
          </cell>
          <cell r="B1438" t="str">
            <v>CAIXA DE FERRO 4 X 4 POLEGADA</v>
          </cell>
          <cell r="C1438" t="str">
            <v>UN</v>
          </cell>
          <cell r="D1438">
            <v>5</v>
          </cell>
        </row>
        <row r="1439">
          <cell r="A1439" t="str">
            <v>141304</v>
          </cell>
          <cell r="B1439" t="str">
            <v>CAIXA DE FERRO 4 X 2 POLEGADA</v>
          </cell>
          <cell r="C1439" t="str">
            <v>UN</v>
          </cell>
          <cell r="D1439">
            <v>3.45</v>
          </cell>
        </row>
        <row r="1440">
          <cell r="A1440" t="str">
            <v>141305</v>
          </cell>
          <cell r="B1440" t="str">
            <v>PLACA 4 X 2 POLEGADA PARA PONTO DE CHUVEIRO OU EXAUSTOR</v>
          </cell>
          <cell r="C1440" t="str">
            <v>UN</v>
          </cell>
          <cell r="D1440">
            <v>2.02</v>
          </cell>
        </row>
        <row r="1441">
          <cell r="A1441" t="str">
            <v>141306</v>
          </cell>
          <cell r="B1441" t="str">
            <v>CONJUNTO DE PLACA 4 X 2 POLEGADA COM 1 INTERRUPTOR SIMPLES</v>
          </cell>
          <cell r="C1441" t="str">
            <v>UN</v>
          </cell>
          <cell r="D1441">
            <v>5.87</v>
          </cell>
        </row>
        <row r="1442">
          <cell r="A1442" t="str">
            <v>141307</v>
          </cell>
          <cell r="B1442" t="str">
            <v>CONJUNTO DE PLACA 4 X 2 POLEGADA COM 1 TOMADA REDONDA</v>
          </cell>
          <cell r="C1442" t="str">
            <v>UN</v>
          </cell>
          <cell r="D1442">
            <v>6.27</v>
          </cell>
        </row>
        <row r="1443">
          <cell r="A1443" t="str">
            <v>141308</v>
          </cell>
          <cell r="B1443" t="str">
            <v>CONJUNTO DE PLACA 4 X 2 POLEGADA COM 2 INTERRUPTORES SIMPLES</v>
          </cell>
          <cell r="C1443" t="str">
            <v>UN</v>
          </cell>
          <cell r="D1443">
            <v>9.42</v>
          </cell>
        </row>
        <row r="1444">
          <cell r="A1444" t="str">
            <v>141309</v>
          </cell>
          <cell r="B1444" t="str">
            <v>CONJUNTO DE PLACA 4 X 2 POLEGADA COM 1 INTERRUPTOR SIMPLES E 1 TOMADA</v>
          </cell>
          <cell r="C1444" t="str">
            <v>UN</v>
          </cell>
          <cell r="D1444">
            <v>9.4600000000000009</v>
          </cell>
        </row>
        <row r="1445">
          <cell r="A1445" t="str">
            <v>141310</v>
          </cell>
          <cell r="B1445" t="str">
            <v>CONJUNTO DE PLACA 4 X 2 POLEGADA COM 1 INTERRUPTOR BIPOLAR SIMPLES (TECLA DUPLA)</v>
          </cell>
          <cell r="C1445" t="str">
            <v>UN</v>
          </cell>
          <cell r="D1445">
            <v>15.68</v>
          </cell>
        </row>
        <row r="1446">
          <cell r="A1446" t="str">
            <v>141311</v>
          </cell>
          <cell r="B1446" t="str">
            <v>CONJUNTO DE PLACA 4 X 2 POLEGADA COM 3 INTERRUPTORES SIMPLES</v>
          </cell>
          <cell r="C1446" t="str">
            <v>UN</v>
          </cell>
          <cell r="D1446">
            <v>11.73</v>
          </cell>
        </row>
        <row r="1447">
          <cell r="A1447" t="str">
            <v>141312</v>
          </cell>
          <cell r="B1447" t="str">
            <v>CONJUNTO DE PLACA 4 X 4 POLEGADA COM 2 TOMADAS REDONDAS</v>
          </cell>
          <cell r="C1447" t="str">
            <v>UN</v>
          </cell>
          <cell r="D1447">
            <v>11.91</v>
          </cell>
        </row>
        <row r="1448">
          <cell r="A1448" t="str">
            <v>141313</v>
          </cell>
          <cell r="B1448" t="str">
            <v>PLACA 4 X 4 POLEGADA FECHADA</v>
          </cell>
          <cell r="C1448" t="str">
            <v>UN</v>
          </cell>
          <cell r="D1448">
            <v>3.59</v>
          </cell>
        </row>
        <row r="1449">
          <cell r="A1449" t="str">
            <v>141314</v>
          </cell>
          <cell r="B1449" t="str">
            <v>CONJUNTO DE PLACA 4 X 4 POLEGADA COM 1 INTERRUPTOR BIPOLAR SIMPLES (TECLA DUPLA) E 1 TOMADA REDONDA</v>
          </cell>
          <cell r="C1449" t="str">
            <v>UN</v>
          </cell>
          <cell r="D1449">
            <v>17.11</v>
          </cell>
        </row>
        <row r="1450">
          <cell r="A1450" t="str">
            <v>141315</v>
          </cell>
          <cell r="B1450" t="str">
            <v>CONJUNTO DE PLACA 4 X 4 POLEGADA COM 2 INTERRUPTORES BIPOLARES SIMPLES (TECLA DUPLA)</v>
          </cell>
          <cell r="C1450" t="str">
            <v>UN</v>
          </cell>
          <cell r="D1450">
            <v>18</v>
          </cell>
        </row>
        <row r="1451">
          <cell r="A1451" t="str">
            <v>141316</v>
          </cell>
          <cell r="B1451" t="str">
            <v>CONJUNTO DE PLACA 4 X 4 POLEGADA COM 1 INTERRUPTOR TRIPOLAR E 1 TOMADA REDONDA</v>
          </cell>
          <cell r="C1451" t="str">
            <v>UN</v>
          </cell>
          <cell r="D1451">
            <v>18.27</v>
          </cell>
        </row>
        <row r="1452">
          <cell r="A1452" t="str">
            <v>141317</v>
          </cell>
          <cell r="B1452" t="str">
            <v>LUMINARIA TIPO ARANDELA 45 GRAUS, COM DIFUSOR E CAIXA DE LIGACAO</v>
          </cell>
          <cell r="C1452" t="str">
            <v>UN</v>
          </cell>
          <cell r="D1452">
            <v>136.04</v>
          </cell>
        </row>
        <row r="1453">
          <cell r="A1453" t="str">
            <v>141318</v>
          </cell>
          <cell r="B1453" t="str">
            <v>LUMINARIA TIPO ARANDELA 45 GRAUS E CAIXA DE LIGACAO</v>
          </cell>
          <cell r="C1453" t="str">
            <v>UN</v>
          </cell>
          <cell r="D1453">
            <v>99.73</v>
          </cell>
        </row>
        <row r="1454">
          <cell r="A1454" t="str">
            <v>141319</v>
          </cell>
          <cell r="B1454" t="str">
            <v>LUMINARIA TIPO TP 217 DA TROPICO OU SIMILAR</v>
          </cell>
          <cell r="C1454" t="str">
            <v>UN</v>
          </cell>
          <cell r="D1454">
            <v>229.94</v>
          </cell>
        </row>
        <row r="1455">
          <cell r="A1455" t="str">
            <v>141320</v>
          </cell>
          <cell r="B1455" t="str">
            <v>LUMINARIA TIPO PLAFONIER</v>
          </cell>
          <cell r="C1455" t="str">
            <v>UN</v>
          </cell>
          <cell r="D1455">
            <v>12.26</v>
          </cell>
        </row>
        <row r="1456">
          <cell r="A1456" t="str">
            <v>141321</v>
          </cell>
          <cell r="B1456" t="str">
            <v>ARANDELA TIPO DROPS</v>
          </cell>
          <cell r="C1456" t="str">
            <v>UN</v>
          </cell>
          <cell r="D1456">
            <v>14.19</v>
          </cell>
        </row>
        <row r="1457">
          <cell r="A1457" t="str">
            <v>141322</v>
          </cell>
          <cell r="B1457" t="str">
            <v>LUMINARIA FLUORESCENTE PARA 1 LAMPADA 220 V/40 W</v>
          </cell>
          <cell r="C1457" t="str">
            <v>UN</v>
          </cell>
          <cell r="D1457">
            <v>44.18</v>
          </cell>
        </row>
        <row r="1458">
          <cell r="A1458" t="str">
            <v>141323</v>
          </cell>
          <cell r="B1458" t="str">
            <v>LUMINARIA FLUORESCENTE PARA 2 LAMPADAS 220V/40W</v>
          </cell>
          <cell r="C1458" t="str">
            <v>UN</v>
          </cell>
          <cell r="D1458">
            <v>63.58</v>
          </cell>
        </row>
        <row r="1459">
          <cell r="A1459" t="str">
            <v>141324</v>
          </cell>
          <cell r="B1459" t="str">
            <v>LUMINARIA FLUORESCENTE PARA 4 LAMPADAS 220V/40W</v>
          </cell>
          <cell r="C1459" t="str">
            <v>UN</v>
          </cell>
          <cell r="D1459">
            <v>104.8</v>
          </cell>
        </row>
        <row r="1460">
          <cell r="A1460" t="str">
            <v>141325</v>
          </cell>
          <cell r="B1460" t="str">
            <v>LUMINARIA FLUORESCENTE PARA 2 LAMPADAS 220V/20W</v>
          </cell>
          <cell r="C1460" t="str">
            <v>UN</v>
          </cell>
          <cell r="D1460">
            <v>62.25</v>
          </cell>
        </row>
        <row r="1461">
          <cell r="A1461" t="str">
            <v>141326</v>
          </cell>
          <cell r="B1461" t="str">
            <v>LUMINARIA FLUORESCENTE PARA 4 LAMPADAS 220V/20W</v>
          </cell>
          <cell r="C1461" t="str">
            <v>UN</v>
          </cell>
          <cell r="D1461">
            <v>96.75</v>
          </cell>
        </row>
        <row r="1462">
          <cell r="A1462" t="str">
            <v>141327</v>
          </cell>
          <cell r="B1462" t="str">
            <v>REATOR PARA LAMPADA FLUORESCENTE PARTIDA RAPIDA, ALTO FATOR DE POTENCIA - SIMPLES 220 V/1 X 20 W</v>
          </cell>
          <cell r="C1462" t="str">
            <v>UN</v>
          </cell>
          <cell r="D1462">
            <v>30.43</v>
          </cell>
        </row>
        <row r="1463">
          <cell r="A1463" t="str">
            <v>141328</v>
          </cell>
          <cell r="B1463" t="str">
            <v>REATOR PARA LAMPADA FLUORESCENTE PARTIDA RAPIDA, ALTO FATOR DE POTENCIA - SIMPLES 220 V/1 X 40 W</v>
          </cell>
          <cell r="C1463" t="str">
            <v>UN</v>
          </cell>
          <cell r="D1463">
            <v>30.49</v>
          </cell>
        </row>
        <row r="1464">
          <cell r="A1464" t="str">
            <v>141329</v>
          </cell>
          <cell r="B1464" t="str">
            <v>REATOR PARA LAMPADA FLUORESCENTE PARTIDA RAPIDA, ALTO FATOR DE POTENCIA - DUPLO 220 V/2 X 20 W</v>
          </cell>
          <cell r="C1464" t="str">
            <v>UN</v>
          </cell>
          <cell r="D1464">
            <v>42.33</v>
          </cell>
        </row>
        <row r="1465">
          <cell r="A1465" t="str">
            <v>141331</v>
          </cell>
          <cell r="B1465" t="str">
            <v>DISJUNTOR AUTOMATICO TIPO QUICK DE 10A A 30A</v>
          </cell>
          <cell r="C1465" t="str">
            <v>UN</v>
          </cell>
          <cell r="D1465">
            <v>12.03</v>
          </cell>
        </row>
        <row r="1466">
          <cell r="A1466" t="str">
            <v>141332</v>
          </cell>
          <cell r="B1466" t="str">
            <v>LAMPADA LUZ MISTA 250 W/220 V</v>
          </cell>
          <cell r="C1466" t="str">
            <v>UN</v>
          </cell>
          <cell r="D1466">
            <v>17.510000000000002</v>
          </cell>
        </row>
        <row r="1467">
          <cell r="A1467" t="str">
            <v>141333</v>
          </cell>
          <cell r="B1467" t="str">
            <v>LAMPADA LUZ MISTA 160 W/220 V</v>
          </cell>
          <cell r="C1467" t="str">
            <v>UN</v>
          </cell>
          <cell r="D1467">
            <v>14.37</v>
          </cell>
        </row>
        <row r="1468">
          <cell r="A1468" t="str">
            <v>141334</v>
          </cell>
          <cell r="B1468" t="str">
            <v>LAMPADA INCANDESCENTE 100 W/120 V</v>
          </cell>
          <cell r="C1468" t="str">
            <v>UN</v>
          </cell>
          <cell r="D1468">
            <v>3.05</v>
          </cell>
        </row>
        <row r="1469">
          <cell r="A1469" t="str">
            <v>141335</v>
          </cell>
          <cell r="B1469" t="str">
            <v>LAMPADA INCANDESCENTE 100 W/220 V</v>
          </cell>
          <cell r="C1469" t="str">
            <v>UN</v>
          </cell>
          <cell r="D1469">
            <v>3.05</v>
          </cell>
        </row>
        <row r="1470">
          <cell r="A1470" t="str">
            <v>141336</v>
          </cell>
          <cell r="B1470" t="str">
            <v>LAMPADA INCANDESCENTE  60 W/ 120 V</v>
          </cell>
          <cell r="C1470" t="str">
            <v>UN</v>
          </cell>
          <cell r="D1470">
            <v>2.73</v>
          </cell>
        </row>
        <row r="1471">
          <cell r="A1471" t="str">
            <v>141337</v>
          </cell>
          <cell r="B1471" t="str">
            <v>LAMPADA INCANDESCENTE  60 W/220 V</v>
          </cell>
          <cell r="C1471" t="str">
            <v>UN</v>
          </cell>
          <cell r="D1471">
            <v>2.73</v>
          </cell>
        </row>
        <row r="1472">
          <cell r="A1472" t="str">
            <v>141338</v>
          </cell>
          <cell r="B1472" t="str">
            <v>LAMPADA INCANDESCENTE 40 W/120 V</v>
          </cell>
          <cell r="C1472" t="str">
            <v>UN</v>
          </cell>
          <cell r="D1472">
            <v>3.13</v>
          </cell>
        </row>
        <row r="1473">
          <cell r="A1473" t="str">
            <v>141339</v>
          </cell>
          <cell r="B1473" t="str">
            <v>LAMPADA INCANDESCENTE 40 W/220 V</v>
          </cell>
          <cell r="C1473" t="str">
            <v>UN</v>
          </cell>
          <cell r="D1473">
            <v>3.13</v>
          </cell>
        </row>
        <row r="1474">
          <cell r="A1474" t="str">
            <v>141340</v>
          </cell>
          <cell r="B1474" t="str">
            <v>QUADRO DE LUZ QUICK-LAGS 4 DISJUNTORES</v>
          </cell>
          <cell r="C1474" t="str">
            <v>UN</v>
          </cell>
          <cell r="D1474">
            <v>214.03</v>
          </cell>
        </row>
        <row r="1475">
          <cell r="A1475" t="str">
            <v>141341</v>
          </cell>
          <cell r="B1475" t="str">
            <v>QUADRO DE LUZ QUICK-LAGS 6 DISJUNTORES</v>
          </cell>
          <cell r="C1475" t="str">
            <v>UN</v>
          </cell>
          <cell r="D1475">
            <v>183.02</v>
          </cell>
        </row>
        <row r="1476">
          <cell r="A1476" t="str">
            <v>141342</v>
          </cell>
          <cell r="B1476" t="str">
            <v>EXAUSTOR DOMICILIAR</v>
          </cell>
          <cell r="C1476" t="str">
            <v>UN</v>
          </cell>
          <cell r="D1476">
            <v>125.23</v>
          </cell>
        </row>
        <row r="1477">
          <cell r="A1477" t="str">
            <v>141344</v>
          </cell>
          <cell r="B1477" t="str">
            <v>CONECTOR TIPO SPLIT BOLT PARA CABO 10,0 MM2</v>
          </cell>
          <cell r="C1477" t="str">
            <v>UN</v>
          </cell>
          <cell r="D1477">
            <v>3.53</v>
          </cell>
        </row>
        <row r="1478">
          <cell r="A1478" t="str">
            <v>141345</v>
          </cell>
          <cell r="B1478" t="str">
            <v>CONECTOR TIPO SPLIT BOLT PARA CABO 35,0 MM2</v>
          </cell>
          <cell r="C1478" t="str">
            <v>UN</v>
          </cell>
          <cell r="D1478">
            <v>4.54</v>
          </cell>
        </row>
        <row r="1479">
          <cell r="A1479" t="str">
            <v>141346</v>
          </cell>
          <cell r="B1479" t="str">
            <v>CONECTOR TIPO SPLIT BOLT PARA CABO 70,0 MM2</v>
          </cell>
          <cell r="C1479" t="str">
            <v>UN</v>
          </cell>
          <cell r="D1479">
            <v>10.64</v>
          </cell>
        </row>
        <row r="1480">
          <cell r="A1480" t="str">
            <v>141347</v>
          </cell>
          <cell r="B1480" t="str">
            <v>CONECTOR TIPO SPLIT BOLT PARA CABO 120 MM2</v>
          </cell>
          <cell r="C1480" t="str">
            <v>UN</v>
          </cell>
          <cell r="D1480">
            <v>18.079999999999998</v>
          </cell>
        </row>
        <row r="1481">
          <cell r="A1481" t="str">
            <v>141348</v>
          </cell>
          <cell r="B1481" t="str">
            <v>HASTE DE ATERRAMENTO COPPERWELD 3 M X DIAMETRO 5/8 POLEGADA</v>
          </cell>
          <cell r="C1481" t="str">
            <v>UN</v>
          </cell>
          <cell r="D1481">
            <v>68.88</v>
          </cell>
        </row>
        <row r="1482">
          <cell r="A1482" t="str">
            <v>141349</v>
          </cell>
          <cell r="B1482" t="str">
            <v>POSTE DE ENGASTAR MODELO LP 500/30 DA TROPICO OU SIMILAR</v>
          </cell>
          <cell r="C1482" t="str">
            <v>UN</v>
          </cell>
          <cell r="D1482">
            <v>541.88</v>
          </cell>
        </row>
        <row r="1483">
          <cell r="A1483" t="str">
            <v>141350</v>
          </cell>
          <cell r="B1483" t="str">
            <v>POSTE DE FERRO, DIAMETRO 102 MM, h : 7 M</v>
          </cell>
          <cell r="C1483" t="str">
            <v>UN</v>
          </cell>
          <cell r="D1483">
            <v>546.53</v>
          </cell>
        </row>
        <row r="1484">
          <cell r="A1484" t="str">
            <v>141351</v>
          </cell>
          <cell r="B1484" t="str">
            <v>CONDULETE   1/2 POLEGADA</v>
          </cell>
          <cell r="C1484" t="str">
            <v>UN</v>
          </cell>
          <cell r="D1484">
            <v>5.81</v>
          </cell>
        </row>
        <row r="1485">
          <cell r="A1485" t="str">
            <v>141352</v>
          </cell>
          <cell r="B1485" t="str">
            <v>CONDULETE   3/4 POLEGADA</v>
          </cell>
          <cell r="C1485" t="str">
            <v>UN</v>
          </cell>
          <cell r="D1485">
            <v>5.83</v>
          </cell>
        </row>
        <row r="1486">
          <cell r="A1486" t="str">
            <v>141353</v>
          </cell>
          <cell r="B1486" t="str">
            <v>CONDULETE 1     POLEGADA</v>
          </cell>
          <cell r="C1486" t="str">
            <v>UN</v>
          </cell>
          <cell r="D1486">
            <v>8.32</v>
          </cell>
        </row>
        <row r="1487">
          <cell r="A1487" t="str">
            <v>141354</v>
          </cell>
          <cell r="B1487" t="str">
            <v>CONDULETE 1 1/4 POLEGADA</v>
          </cell>
          <cell r="C1487" t="str">
            <v>UN</v>
          </cell>
          <cell r="D1487">
            <v>12.34</v>
          </cell>
        </row>
        <row r="1488">
          <cell r="A1488" t="str">
            <v>141355</v>
          </cell>
          <cell r="B1488" t="str">
            <v>CONDULETE 1 1/2 POLEGADA</v>
          </cell>
          <cell r="C1488" t="str">
            <v>UN</v>
          </cell>
          <cell r="D1488">
            <v>17.899999999999999</v>
          </cell>
        </row>
        <row r="1489">
          <cell r="A1489" t="str">
            <v>141356</v>
          </cell>
          <cell r="B1489" t="str">
            <v>CONDULETE 2     POLEGADA</v>
          </cell>
          <cell r="C1489" t="str">
            <v>UN</v>
          </cell>
          <cell r="D1489">
            <v>18.16</v>
          </cell>
        </row>
        <row r="1490">
          <cell r="A1490" t="str">
            <v>141357</v>
          </cell>
          <cell r="B1490" t="str">
            <v>CONDULETE 2 1/2 POLEGADA</v>
          </cell>
          <cell r="C1490" t="str">
            <v>UN</v>
          </cell>
          <cell r="D1490">
            <v>42.81</v>
          </cell>
        </row>
        <row r="1491">
          <cell r="A1491" t="str">
            <v>141358</v>
          </cell>
          <cell r="B1491" t="str">
            <v>CONDULETE 3     POLEGADA</v>
          </cell>
          <cell r="C1491" t="str">
            <v>UN</v>
          </cell>
          <cell r="D1491">
            <v>58.75</v>
          </cell>
        </row>
        <row r="1492">
          <cell r="A1492" t="str">
            <v>141359</v>
          </cell>
          <cell r="B1492" t="str">
            <v>CONDULETE 3 1/2 POLEGADA</v>
          </cell>
          <cell r="C1492" t="str">
            <v>UN</v>
          </cell>
          <cell r="D1492">
            <v>67.08</v>
          </cell>
        </row>
        <row r="1493">
          <cell r="A1493" t="str">
            <v>141360</v>
          </cell>
          <cell r="B1493" t="str">
            <v>CONDULETE 4     POLEGADA</v>
          </cell>
          <cell r="C1493" t="str">
            <v>UN</v>
          </cell>
          <cell r="D1493">
            <v>101.73</v>
          </cell>
        </row>
        <row r="1495">
          <cell r="A1495" t="str">
            <v>141400</v>
          </cell>
          <cell r="B1495" t="str">
            <v>ENTRADA GERAL</v>
          </cell>
        </row>
        <row r="1496">
          <cell r="A1496" t="str">
            <v>141401</v>
          </cell>
          <cell r="B1496" t="str">
            <v>CARGA GERAL ATE 10 KW</v>
          </cell>
          <cell r="C1496" t="str">
            <v>UN</v>
          </cell>
          <cell r="D1496">
            <v>680.77</v>
          </cell>
        </row>
        <row r="1497">
          <cell r="A1497" t="str">
            <v>141402</v>
          </cell>
          <cell r="B1497" t="str">
            <v>CARGA DE 10,5 KW A 20 KW</v>
          </cell>
          <cell r="C1497" t="str">
            <v>UN</v>
          </cell>
          <cell r="D1497">
            <v>778.23</v>
          </cell>
        </row>
        <row r="1498">
          <cell r="A1498" t="str">
            <v>141403</v>
          </cell>
          <cell r="B1498" t="str">
            <v>CARGA DE 20,5 KW A 40 KW</v>
          </cell>
          <cell r="C1498" t="str">
            <v>UN</v>
          </cell>
          <cell r="D1498">
            <v>988.07</v>
          </cell>
        </row>
        <row r="1499">
          <cell r="A1499" t="str">
            <v>141404</v>
          </cell>
          <cell r="B1499" t="str">
            <v>CARGA DE 40,5 KW A 60 KW</v>
          </cell>
          <cell r="C1499" t="str">
            <v>UN</v>
          </cell>
          <cell r="D1499">
            <v>1116.28</v>
          </cell>
        </row>
        <row r="1500">
          <cell r="A1500" t="str">
            <v>141405</v>
          </cell>
          <cell r="B1500" t="str">
            <v>CARGA DE 60,5 KW A 80 KW</v>
          </cell>
          <cell r="C1500" t="str">
            <v>UN</v>
          </cell>
          <cell r="D1500">
            <v>1256.1099999999999</v>
          </cell>
        </row>
        <row r="1501">
          <cell r="A1501" t="str">
            <v>141406</v>
          </cell>
          <cell r="B1501" t="str">
            <v>CARGA ACIMA DE 80 KW</v>
          </cell>
          <cell r="C1501" t="str">
            <v>UN</v>
          </cell>
          <cell r="D1501">
            <v>1296.1500000000001</v>
          </cell>
        </row>
        <row r="1503">
          <cell r="A1503" t="str">
            <v>141500</v>
          </cell>
          <cell r="B1503" t="str">
            <v>CAIXA DE MEDIDORES</v>
          </cell>
        </row>
        <row r="1504">
          <cell r="A1504" t="str">
            <v>141501</v>
          </cell>
          <cell r="B1504" t="str">
            <v>ATE 50 A</v>
          </cell>
          <cell r="C1504" t="str">
            <v>UN</v>
          </cell>
          <cell r="D1504">
            <v>729.09</v>
          </cell>
        </row>
        <row r="1505">
          <cell r="A1505" t="str">
            <v>141502</v>
          </cell>
          <cell r="B1505" t="str">
            <v>ACIMA DE 50 A</v>
          </cell>
          <cell r="C1505" t="str">
            <v>UN</v>
          </cell>
          <cell r="D1505">
            <v>1187.8800000000001</v>
          </cell>
        </row>
        <row r="1507">
          <cell r="A1507" t="str">
            <v>141600</v>
          </cell>
          <cell r="B1507" t="str">
            <v>CAIXA DE QUADRO ELETRICO DE COMANDO</v>
          </cell>
        </row>
        <row r="1508">
          <cell r="A1508" t="str">
            <v>141601</v>
          </cell>
          <cell r="B1508" t="str">
            <v>TIPO 1</v>
          </cell>
          <cell r="C1508" t="str">
            <v>UN</v>
          </cell>
          <cell r="D1508">
            <v>1094.03</v>
          </cell>
        </row>
        <row r="1509">
          <cell r="A1509" t="str">
            <v>141602</v>
          </cell>
          <cell r="B1509" t="str">
            <v>TIPO 2</v>
          </cell>
          <cell r="C1509" t="str">
            <v>UN</v>
          </cell>
          <cell r="D1509">
            <v>1294.44</v>
          </cell>
        </row>
        <row r="1510">
          <cell r="A1510" t="str">
            <v>141603</v>
          </cell>
          <cell r="B1510" t="str">
            <v>TIPO 3</v>
          </cell>
          <cell r="C1510" t="str">
            <v>UN</v>
          </cell>
          <cell r="D1510">
            <v>1681.42</v>
          </cell>
        </row>
        <row r="1511">
          <cell r="A1511" t="str">
            <v>141604</v>
          </cell>
          <cell r="B1511" t="str">
            <v>TIPO 4</v>
          </cell>
          <cell r="C1511" t="str">
            <v>UN</v>
          </cell>
          <cell r="D1511">
            <v>904.58</v>
          </cell>
        </row>
        <row r="1512">
          <cell r="A1512" t="str">
            <v>141605</v>
          </cell>
          <cell r="B1512" t="str">
            <v>TIPO 5</v>
          </cell>
          <cell r="C1512" t="str">
            <v>UN</v>
          </cell>
          <cell r="D1512">
            <v>1132.3699999999999</v>
          </cell>
        </row>
        <row r="1513">
          <cell r="A1513" t="str">
            <v>141606</v>
          </cell>
          <cell r="B1513" t="str">
            <v>TIPO 6</v>
          </cell>
          <cell r="C1513" t="str">
            <v>UN</v>
          </cell>
          <cell r="D1513">
            <v>1509.78</v>
          </cell>
        </row>
        <row r="1514">
          <cell r="A1514" t="str">
            <v>141607</v>
          </cell>
          <cell r="B1514" t="str">
            <v>TIPO 7</v>
          </cell>
          <cell r="C1514" t="str">
            <v>UN</v>
          </cell>
          <cell r="D1514">
            <v>1907.55</v>
          </cell>
        </row>
        <row r="1515">
          <cell r="A1515" t="str">
            <v>141608</v>
          </cell>
          <cell r="B1515" t="str">
            <v>TIPO 8</v>
          </cell>
          <cell r="C1515" t="str">
            <v>UN</v>
          </cell>
          <cell r="D1515">
            <v>1428.2</v>
          </cell>
        </row>
        <row r="1516">
          <cell r="A1516" t="str">
            <v>141609</v>
          </cell>
          <cell r="B1516" t="str">
            <v>TIPO 9</v>
          </cell>
          <cell r="C1516" t="str">
            <v>UN</v>
          </cell>
          <cell r="D1516">
            <v>1698.22</v>
          </cell>
        </row>
        <row r="1517">
          <cell r="A1517" t="str">
            <v>141610</v>
          </cell>
          <cell r="B1517" t="str">
            <v>TIPO 10</v>
          </cell>
          <cell r="C1517" t="str">
            <v>UN</v>
          </cell>
          <cell r="D1517">
            <v>1910.81</v>
          </cell>
        </row>
        <row r="1519">
          <cell r="A1519" t="str">
            <v>150000</v>
          </cell>
          <cell r="B1519" t="str">
            <v>INSTALACOES</v>
          </cell>
        </row>
        <row r="1520">
          <cell r="A1520" t="str">
            <v>150100</v>
          </cell>
          <cell r="B1520" t="str">
            <v>INSTALACOES</v>
          </cell>
        </row>
        <row r="1522">
          <cell r="A1522" t="str">
            <v>160000</v>
          </cell>
          <cell r="B1522" t="str">
            <v>INSTALACOES DE PRODUCAO</v>
          </cell>
        </row>
        <row r="1523">
          <cell r="A1523" t="str">
            <v>160100</v>
          </cell>
          <cell r="B1523" t="str">
            <v>INSTALACAO ELETRO-MECANICA DE CONJUNTO MOTO-BOMBA</v>
          </cell>
        </row>
        <row r="1524">
          <cell r="A1524" t="str">
            <v>160101</v>
          </cell>
          <cell r="B1524" t="str">
            <v>DE 01 A 15 CV</v>
          </cell>
          <cell r="C1524" t="str">
            <v>UN</v>
          </cell>
          <cell r="D1524">
            <v>536.74</v>
          </cell>
        </row>
        <row r="1525">
          <cell r="A1525" t="str">
            <v>160102</v>
          </cell>
          <cell r="B1525" t="str">
            <v>DE 15,5 A 50 CV</v>
          </cell>
          <cell r="C1525" t="str">
            <v>UN</v>
          </cell>
          <cell r="D1525">
            <v>722.78</v>
          </cell>
        </row>
        <row r="1526">
          <cell r="A1526" t="str">
            <v>160103</v>
          </cell>
          <cell r="B1526" t="str">
            <v>DE 50,5 A 100 CV</v>
          </cell>
          <cell r="C1526" t="str">
            <v>UN</v>
          </cell>
          <cell r="D1526">
            <v>908.77</v>
          </cell>
        </row>
        <row r="1527">
          <cell r="A1527" t="str">
            <v>160104</v>
          </cell>
          <cell r="B1527" t="str">
            <v>DE 100,5 A 200 CV</v>
          </cell>
          <cell r="C1527" t="str">
            <v>UN</v>
          </cell>
          <cell r="D1527">
            <v>1194.02</v>
          </cell>
        </row>
        <row r="1528">
          <cell r="A1528" t="str">
            <v>160105</v>
          </cell>
          <cell r="B1528" t="str">
            <v>DE 200,5 A 500 CV</v>
          </cell>
          <cell r="C1528" t="str">
            <v>UN</v>
          </cell>
          <cell r="D1528">
            <v>1817.57</v>
          </cell>
        </row>
        <row r="1530">
          <cell r="A1530" t="str">
            <v>160200</v>
          </cell>
          <cell r="B1530" t="str">
            <v>INSTALACAO DE PERFIL I</v>
          </cell>
        </row>
        <row r="1531">
          <cell r="A1531" t="str">
            <v>160201</v>
          </cell>
          <cell r="B1531" t="str">
            <v>4  POLEGADA</v>
          </cell>
          <cell r="C1531" t="str">
            <v>M</v>
          </cell>
          <cell r="D1531">
            <v>51.96</v>
          </cell>
        </row>
        <row r="1532">
          <cell r="A1532" t="str">
            <v>160202</v>
          </cell>
          <cell r="B1532" t="str">
            <v>6  POLEGADA</v>
          </cell>
          <cell r="C1532" t="str">
            <v>M</v>
          </cell>
          <cell r="D1532">
            <v>81.44</v>
          </cell>
        </row>
        <row r="1533">
          <cell r="A1533" t="str">
            <v>160203</v>
          </cell>
          <cell r="B1533" t="str">
            <v>8  POLEGADA</v>
          </cell>
          <cell r="C1533" t="str">
            <v>M</v>
          </cell>
          <cell r="D1533">
            <v>109.23</v>
          </cell>
        </row>
        <row r="1534">
          <cell r="A1534" t="str">
            <v>160204</v>
          </cell>
          <cell r="B1534" t="str">
            <v>10 POLEGADA</v>
          </cell>
          <cell r="C1534" t="str">
            <v>M</v>
          </cell>
          <cell r="D1534">
            <v>152.96</v>
          </cell>
        </row>
        <row r="1535">
          <cell r="A1535" t="str">
            <v>160205</v>
          </cell>
          <cell r="B1535" t="str">
            <v>12 POLEGADA</v>
          </cell>
          <cell r="C1535" t="str">
            <v>M</v>
          </cell>
          <cell r="D1535">
            <v>205.51</v>
          </cell>
        </row>
        <row r="1537">
          <cell r="A1537" t="str">
            <v>160300</v>
          </cell>
          <cell r="B1537" t="str">
            <v>MODULO DOS DECANTADORES DA ETA</v>
          </cell>
        </row>
        <row r="1538">
          <cell r="A1538" t="str">
            <v>160301</v>
          </cell>
          <cell r="B1538" t="str">
            <v>12 L/S</v>
          </cell>
          <cell r="C1538" t="str">
            <v>UN</v>
          </cell>
          <cell r="D1538">
            <v>168.8</v>
          </cell>
        </row>
        <row r="1539">
          <cell r="A1539" t="str">
            <v>160302</v>
          </cell>
          <cell r="B1539" t="str">
            <v>16 L/S</v>
          </cell>
          <cell r="C1539" t="str">
            <v>UN</v>
          </cell>
          <cell r="D1539">
            <v>196.36</v>
          </cell>
        </row>
        <row r="1540">
          <cell r="A1540" t="str">
            <v>160303</v>
          </cell>
          <cell r="B1540" t="str">
            <v>20 L/S</v>
          </cell>
          <cell r="C1540" t="str">
            <v>UN</v>
          </cell>
          <cell r="D1540">
            <v>207.3</v>
          </cell>
        </row>
        <row r="1541">
          <cell r="A1541" t="str">
            <v>160304</v>
          </cell>
          <cell r="B1541" t="str">
            <v>25 L/S</v>
          </cell>
          <cell r="C1541" t="str">
            <v>UN</v>
          </cell>
          <cell r="D1541">
            <v>251.99</v>
          </cell>
        </row>
        <row r="1543">
          <cell r="A1543" t="str">
            <v>160400</v>
          </cell>
          <cell r="B1543" t="str">
            <v>CALHA DE AGUA DE LAVAGEM DA ETA</v>
          </cell>
        </row>
        <row r="1544">
          <cell r="A1544" t="str">
            <v>160401</v>
          </cell>
          <cell r="B1544" t="str">
            <v>12 L/S</v>
          </cell>
          <cell r="C1544" t="str">
            <v>UN</v>
          </cell>
          <cell r="D1544">
            <v>88.47</v>
          </cell>
        </row>
        <row r="1545">
          <cell r="A1545" t="str">
            <v>160402</v>
          </cell>
          <cell r="B1545" t="str">
            <v>16 L/S</v>
          </cell>
          <cell r="C1545" t="str">
            <v>UN</v>
          </cell>
          <cell r="D1545">
            <v>98.77</v>
          </cell>
        </row>
        <row r="1546">
          <cell r="A1546" t="str">
            <v>160403</v>
          </cell>
          <cell r="B1546" t="str">
            <v>20 L/S</v>
          </cell>
          <cell r="C1546" t="str">
            <v>UN</v>
          </cell>
          <cell r="D1546">
            <v>116.3</v>
          </cell>
        </row>
        <row r="1547">
          <cell r="A1547" t="str">
            <v>160404</v>
          </cell>
          <cell r="B1547" t="str">
            <v>25 L/S</v>
          </cell>
          <cell r="C1547" t="str">
            <v>UN</v>
          </cell>
          <cell r="D1547">
            <v>137.63999999999999</v>
          </cell>
        </row>
        <row r="1549">
          <cell r="A1549" t="str">
            <v>160500</v>
          </cell>
          <cell r="B1549" t="str">
            <v>STOP LOG</v>
          </cell>
        </row>
        <row r="1550">
          <cell r="A1550" t="str">
            <v>160501</v>
          </cell>
          <cell r="B1550" t="str">
            <v>MADEIRA</v>
          </cell>
          <cell r="C1550" t="str">
            <v>M2</v>
          </cell>
          <cell r="D1550">
            <v>118.64</v>
          </cell>
        </row>
        <row r="1551">
          <cell r="A1551" t="str">
            <v>160502</v>
          </cell>
          <cell r="B1551" t="str">
            <v>FIBER GLASS</v>
          </cell>
          <cell r="C1551" t="str">
            <v>M2</v>
          </cell>
          <cell r="D1551">
            <v>140.55000000000001</v>
          </cell>
        </row>
        <row r="1552">
          <cell r="A1552" t="str">
            <v>160503</v>
          </cell>
          <cell r="B1552" t="str">
            <v>ACO OU ALUMINIO</v>
          </cell>
          <cell r="C1552" t="str">
            <v>M2</v>
          </cell>
          <cell r="D1552">
            <v>865.68</v>
          </cell>
        </row>
        <row r="1554">
          <cell r="A1554" t="str">
            <v>160600</v>
          </cell>
          <cell r="B1554" t="str">
            <v>MONTAGEM DE COMPORTA CIRCULAR DE FERRO FUNDIDO TIPO SENTIDO DUPLO</v>
          </cell>
        </row>
        <row r="1555">
          <cell r="A1555" t="str">
            <v>160601</v>
          </cell>
          <cell r="B1555" t="str">
            <v>DIAMETRO 200 MM</v>
          </cell>
          <cell r="C1555" t="str">
            <v>UN</v>
          </cell>
          <cell r="D1555">
            <v>596.91</v>
          </cell>
        </row>
        <row r="1556">
          <cell r="A1556" t="str">
            <v>160602</v>
          </cell>
          <cell r="B1556" t="str">
            <v>DIAMETRO 300 MM</v>
          </cell>
          <cell r="C1556" t="str">
            <v>UN</v>
          </cell>
          <cell r="D1556">
            <v>878.39</v>
          </cell>
        </row>
        <row r="1557">
          <cell r="A1557" t="str">
            <v>160603</v>
          </cell>
          <cell r="B1557" t="str">
            <v>DIAMETRO 400 MM</v>
          </cell>
          <cell r="C1557" t="str">
            <v>UN</v>
          </cell>
          <cell r="D1557">
            <v>1051.8800000000001</v>
          </cell>
        </row>
        <row r="1558">
          <cell r="A1558" t="str">
            <v>160604</v>
          </cell>
          <cell r="B1558" t="str">
            <v>DIAMETRO 500 MM</v>
          </cell>
          <cell r="C1558" t="str">
            <v>UN</v>
          </cell>
          <cell r="D1558">
            <v>1297.68</v>
          </cell>
        </row>
        <row r="1559">
          <cell r="A1559" t="str">
            <v>160605</v>
          </cell>
          <cell r="B1559" t="str">
            <v>DIAMETRO 600 MM</v>
          </cell>
          <cell r="C1559" t="str">
            <v>UN</v>
          </cell>
          <cell r="D1559">
            <v>1538.74</v>
          </cell>
        </row>
        <row r="1560">
          <cell r="A1560" t="str">
            <v>160606</v>
          </cell>
          <cell r="B1560" t="str">
            <v>DIAMETRO 700 MM</v>
          </cell>
          <cell r="C1560" t="str">
            <v>UN</v>
          </cell>
          <cell r="D1560">
            <v>1714.52</v>
          </cell>
        </row>
        <row r="1561">
          <cell r="A1561" t="str">
            <v>160607</v>
          </cell>
          <cell r="B1561" t="str">
            <v>DIAMETRO 800 MM</v>
          </cell>
          <cell r="C1561" t="str">
            <v>UN</v>
          </cell>
          <cell r="D1561">
            <v>1935.98</v>
          </cell>
        </row>
        <row r="1562">
          <cell r="A1562" t="str">
            <v>160608</v>
          </cell>
          <cell r="B1562" t="str">
            <v>DIAMETRO 900 MM</v>
          </cell>
          <cell r="C1562" t="str">
            <v>UN</v>
          </cell>
          <cell r="D1562">
            <v>2063.89</v>
          </cell>
        </row>
        <row r="1563">
          <cell r="A1563" t="str">
            <v>160609</v>
          </cell>
          <cell r="B1563" t="str">
            <v>DIAMETRO 1000 MM</v>
          </cell>
          <cell r="C1563" t="str">
            <v>UN</v>
          </cell>
          <cell r="D1563">
            <v>2393.7800000000002</v>
          </cell>
        </row>
        <row r="1564">
          <cell r="A1564" t="str">
            <v>160610</v>
          </cell>
          <cell r="B1564" t="str">
            <v>DIAMETRO 1200 MM</v>
          </cell>
          <cell r="C1564" t="str">
            <v>UN</v>
          </cell>
          <cell r="D1564">
            <v>2719.27</v>
          </cell>
        </row>
        <row r="1565">
          <cell r="A1565" t="str">
            <v>160611</v>
          </cell>
          <cell r="B1565" t="str">
            <v>DIAMETRO 1400 MM</v>
          </cell>
          <cell r="C1565" t="str">
            <v>UN</v>
          </cell>
          <cell r="D1565">
            <v>2974.69</v>
          </cell>
        </row>
        <row r="1566">
          <cell r="A1566" t="str">
            <v>160612</v>
          </cell>
          <cell r="B1566" t="str">
            <v>DIAMETRO 1500 MM</v>
          </cell>
          <cell r="C1566" t="str">
            <v>UN</v>
          </cell>
          <cell r="D1566">
            <v>3346</v>
          </cell>
        </row>
        <row r="1567">
          <cell r="A1567" t="str">
            <v>160613</v>
          </cell>
          <cell r="B1567" t="str">
            <v>DIAMETRO 1800 MM</v>
          </cell>
          <cell r="C1567" t="str">
            <v>UN</v>
          </cell>
          <cell r="D1567">
            <v>4010</v>
          </cell>
        </row>
        <row r="1569">
          <cell r="A1569" t="str">
            <v>160700</v>
          </cell>
          <cell r="B1569" t="str">
            <v>MONTAGEM DE COMPORTA CIRCULAR DE FERRO FUNDIDO TIPO SENTIDO UNICO</v>
          </cell>
        </row>
        <row r="1570">
          <cell r="A1570" t="str">
            <v>160701</v>
          </cell>
          <cell r="B1570" t="str">
            <v>DIAMETRO 200 MM</v>
          </cell>
          <cell r="C1570" t="str">
            <v>UN</v>
          </cell>
          <cell r="D1570">
            <v>459.7</v>
          </cell>
        </row>
        <row r="1571">
          <cell r="A1571" t="str">
            <v>160702</v>
          </cell>
          <cell r="B1571" t="str">
            <v>DIAMETRO 300 MM</v>
          </cell>
          <cell r="C1571" t="str">
            <v>UN</v>
          </cell>
          <cell r="D1571">
            <v>792.98</v>
          </cell>
        </row>
        <row r="1572">
          <cell r="A1572" t="str">
            <v>160703</v>
          </cell>
          <cell r="B1572" t="str">
            <v>DIAMETRO 400 MM</v>
          </cell>
          <cell r="C1572" t="str">
            <v>UN</v>
          </cell>
          <cell r="D1572">
            <v>1044.44</v>
          </cell>
        </row>
        <row r="1573">
          <cell r="A1573" t="str">
            <v>160704</v>
          </cell>
          <cell r="B1573" t="str">
            <v>DIAMETRO 500 MM</v>
          </cell>
          <cell r="C1573" t="str">
            <v>UN</v>
          </cell>
          <cell r="D1573">
            <v>1408.27</v>
          </cell>
        </row>
        <row r="1574">
          <cell r="A1574" t="str">
            <v>160705</v>
          </cell>
          <cell r="B1574" t="str">
            <v>DIAMETRO 600 MM</v>
          </cell>
          <cell r="C1574" t="str">
            <v>UN</v>
          </cell>
          <cell r="D1574">
            <v>1530.83</v>
          </cell>
        </row>
        <row r="1575">
          <cell r="A1575" t="str">
            <v>160706</v>
          </cell>
          <cell r="B1575" t="str">
            <v>DIAMETRO 700 MM</v>
          </cell>
          <cell r="C1575" t="str">
            <v>UN</v>
          </cell>
          <cell r="D1575">
            <v>1732.75</v>
          </cell>
        </row>
        <row r="1576">
          <cell r="A1576" t="str">
            <v>160707</v>
          </cell>
          <cell r="B1576" t="str">
            <v>DIAMETRO 800 MM</v>
          </cell>
          <cell r="C1576" t="str">
            <v>UN</v>
          </cell>
          <cell r="D1576">
            <v>1907.28</v>
          </cell>
        </row>
        <row r="1577">
          <cell r="A1577" t="str">
            <v>160708</v>
          </cell>
          <cell r="B1577" t="str">
            <v>DIAMETRO 900 MM</v>
          </cell>
          <cell r="C1577" t="str">
            <v>UN</v>
          </cell>
          <cell r="D1577">
            <v>2152.3200000000002</v>
          </cell>
        </row>
        <row r="1578">
          <cell r="A1578" t="str">
            <v>160709</v>
          </cell>
          <cell r="B1578" t="str">
            <v>DIAMETRO 1000 MM</v>
          </cell>
          <cell r="C1578" t="str">
            <v>UN</v>
          </cell>
          <cell r="D1578">
            <v>2371.44</v>
          </cell>
        </row>
        <row r="1579">
          <cell r="A1579" t="str">
            <v>160710</v>
          </cell>
          <cell r="B1579" t="str">
            <v>DIAMETRO 1200 MM</v>
          </cell>
          <cell r="C1579" t="str">
            <v>UN</v>
          </cell>
          <cell r="D1579">
            <v>3412.46</v>
          </cell>
        </row>
        <row r="1581">
          <cell r="A1581" t="str">
            <v>160800</v>
          </cell>
          <cell r="B1581" t="str">
            <v>MONTAGEM DE ADUFAS SIMPLES DE PAREDE DE FERRO FUNDIDO</v>
          </cell>
        </row>
        <row r="1582">
          <cell r="A1582" t="str">
            <v>160801</v>
          </cell>
          <cell r="B1582" t="str">
            <v>DIAMETRO 100 MM</v>
          </cell>
          <cell r="C1582" t="str">
            <v>UN</v>
          </cell>
          <cell r="D1582">
            <v>205.11</v>
          </cell>
        </row>
        <row r="1583">
          <cell r="A1583" t="str">
            <v>160802</v>
          </cell>
          <cell r="B1583" t="str">
            <v>DIAMETRO 150 MM</v>
          </cell>
          <cell r="C1583" t="str">
            <v>UN</v>
          </cell>
          <cell r="D1583">
            <v>272.42</v>
          </cell>
        </row>
        <row r="1584">
          <cell r="A1584" t="str">
            <v>160803</v>
          </cell>
          <cell r="B1584" t="str">
            <v>DIAMETRO 200 MM</v>
          </cell>
          <cell r="C1584" t="str">
            <v>UN</v>
          </cell>
          <cell r="D1584">
            <v>346.94</v>
          </cell>
        </row>
        <row r="1585">
          <cell r="A1585" t="str">
            <v>160804</v>
          </cell>
          <cell r="B1585" t="str">
            <v>DIAMETRO 250 MM</v>
          </cell>
          <cell r="C1585" t="str">
            <v>UN</v>
          </cell>
          <cell r="D1585">
            <v>467.96</v>
          </cell>
        </row>
        <row r="1586">
          <cell r="A1586" t="str">
            <v>160805</v>
          </cell>
          <cell r="B1586" t="str">
            <v>DIAMETRO 300 MM</v>
          </cell>
          <cell r="C1586" t="str">
            <v>UN</v>
          </cell>
          <cell r="D1586">
            <v>540.69000000000005</v>
          </cell>
        </row>
        <row r="1587">
          <cell r="A1587" t="str">
            <v>160806</v>
          </cell>
          <cell r="B1587" t="str">
            <v>DIAMETRO 400 MM</v>
          </cell>
          <cell r="C1587" t="str">
            <v>UN</v>
          </cell>
          <cell r="D1587">
            <v>721.8</v>
          </cell>
        </row>
        <row r="1588">
          <cell r="A1588" t="str">
            <v>160807</v>
          </cell>
          <cell r="B1588" t="str">
            <v>DIAMETRO 500 MM</v>
          </cell>
          <cell r="C1588" t="str">
            <v>UN</v>
          </cell>
          <cell r="D1588">
            <v>856.33</v>
          </cell>
        </row>
        <row r="1589">
          <cell r="A1589" t="str">
            <v>160808</v>
          </cell>
          <cell r="B1589" t="str">
            <v>DIAMETRO 600 MM</v>
          </cell>
          <cell r="C1589" t="str">
            <v>UN</v>
          </cell>
          <cell r="D1589">
            <v>1084.94</v>
          </cell>
        </row>
        <row r="1591">
          <cell r="A1591" t="str">
            <v>160900</v>
          </cell>
          <cell r="B1591" t="str">
            <v>MONTAGEM DE ADUFAS SIMPLES DE FUNDO DE FERRO FUNDIDO</v>
          </cell>
        </row>
        <row r="1592">
          <cell r="A1592" t="str">
            <v>160901</v>
          </cell>
          <cell r="B1592" t="str">
            <v>DIAMETRO 100 MM</v>
          </cell>
          <cell r="C1592" t="str">
            <v>UN</v>
          </cell>
          <cell r="D1592">
            <v>183.88</v>
          </cell>
        </row>
        <row r="1593">
          <cell r="A1593" t="str">
            <v>160902</v>
          </cell>
          <cell r="B1593" t="str">
            <v>DIAMETRO 150 MM</v>
          </cell>
          <cell r="C1593" t="str">
            <v>UN</v>
          </cell>
          <cell r="D1593">
            <v>270.08</v>
          </cell>
        </row>
        <row r="1594">
          <cell r="A1594" t="str">
            <v>160903</v>
          </cell>
          <cell r="B1594" t="str">
            <v>DIAMETRO 200 MM</v>
          </cell>
          <cell r="C1594" t="str">
            <v>UN</v>
          </cell>
          <cell r="D1594">
            <v>296.92</v>
          </cell>
        </row>
        <row r="1595">
          <cell r="A1595" t="str">
            <v>160904</v>
          </cell>
          <cell r="B1595" t="str">
            <v>DIAMETRO 250 MM</v>
          </cell>
          <cell r="C1595" t="str">
            <v>UN</v>
          </cell>
          <cell r="D1595">
            <v>328.96</v>
          </cell>
        </row>
        <row r="1596">
          <cell r="A1596" t="str">
            <v>160905</v>
          </cell>
          <cell r="B1596" t="str">
            <v>DIAMETRO 300 MM</v>
          </cell>
          <cell r="C1596" t="str">
            <v>UN</v>
          </cell>
          <cell r="D1596">
            <v>399.53</v>
          </cell>
        </row>
        <row r="1597">
          <cell r="A1597" t="str">
            <v>160906</v>
          </cell>
          <cell r="B1597" t="str">
            <v>DIAMETRO 400 MM</v>
          </cell>
          <cell r="C1597" t="str">
            <v>UN</v>
          </cell>
          <cell r="D1597">
            <v>515.6</v>
          </cell>
        </row>
        <row r="1599">
          <cell r="A1599" t="str">
            <v>161000</v>
          </cell>
          <cell r="B1599" t="str">
            <v>MONTAGEM EM GERAL</v>
          </cell>
        </row>
        <row r="1600">
          <cell r="A1600" t="str">
            <v>161001</v>
          </cell>
          <cell r="B1600" t="str">
            <v>CHICANAS DO FLOCULADOR</v>
          </cell>
          <cell r="C1600" t="str">
            <v>M2</v>
          </cell>
          <cell r="D1600">
            <v>87.71</v>
          </cell>
        </row>
        <row r="1601">
          <cell r="A1601" t="str">
            <v>161002</v>
          </cell>
          <cell r="B1601" t="str">
            <v>CORTINA DE MADEIRA</v>
          </cell>
          <cell r="C1601" t="str">
            <v>M2</v>
          </cell>
          <cell r="D1601">
            <v>101.51</v>
          </cell>
        </row>
        <row r="1602">
          <cell r="A1602" t="str">
            <v>161003</v>
          </cell>
          <cell r="B1602" t="str">
            <v>DISPOSITIVO BASCULANTE</v>
          </cell>
          <cell r="C1602" t="str">
            <v>UN</v>
          </cell>
          <cell r="D1602">
            <v>60.11</v>
          </cell>
        </row>
        <row r="1603">
          <cell r="A1603" t="str">
            <v>161004</v>
          </cell>
          <cell r="B1603" t="str">
            <v>VERTEDOR RETANGULAR DE MADEIRA</v>
          </cell>
          <cell r="C1603" t="str">
            <v>M2</v>
          </cell>
          <cell r="D1603">
            <v>237.84</v>
          </cell>
        </row>
        <row r="1604">
          <cell r="A1604" t="str">
            <v>161005</v>
          </cell>
          <cell r="B1604" t="str">
            <v>VERTEDOR TRIANGULAR DE ALUMINIO</v>
          </cell>
          <cell r="C1604" t="str">
            <v>M2</v>
          </cell>
          <cell r="D1604">
            <v>505.42</v>
          </cell>
        </row>
        <row r="1605">
          <cell r="A1605" t="str">
            <v>161006</v>
          </cell>
          <cell r="B1605" t="str">
            <v>ALAVANCA DE MANOBRA VALVULA BORBOLETA</v>
          </cell>
          <cell r="C1605" t="str">
            <v>UN</v>
          </cell>
          <cell r="D1605">
            <v>417.03</v>
          </cell>
        </row>
        <row r="1606">
          <cell r="A1606" t="str">
            <v>161007</v>
          </cell>
          <cell r="B1606" t="str">
            <v>SARILHO</v>
          </cell>
          <cell r="C1606" t="str">
            <v>UN</v>
          </cell>
          <cell r="D1606">
            <v>590.54</v>
          </cell>
        </row>
        <row r="1607">
          <cell r="A1607" t="str">
            <v>161008</v>
          </cell>
          <cell r="B1607" t="str">
            <v>PLACA DE ORIFICIO</v>
          </cell>
          <cell r="C1607" t="str">
            <v>UN</v>
          </cell>
          <cell r="D1607">
            <v>50.92</v>
          </cell>
        </row>
        <row r="1608">
          <cell r="A1608" t="str">
            <v>161009</v>
          </cell>
          <cell r="B1608" t="str">
            <v>MEDIDOR DE VAZAO</v>
          </cell>
          <cell r="C1608" t="str">
            <v>UN</v>
          </cell>
          <cell r="D1608">
            <v>54.83</v>
          </cell>
        </row>
        <row r="1609">
          <cell r="A1609" t="str">
            <v>161010</v>
          </cell>
          <cell r="B1609" t="str">
            <v>DISPOSITIVO DE COLETA DE AGUA DECANTADA</v>
          </cell>
          <cell r="C1609" t="str">
            <v>M</v>
          </cell>
          <cell r="D1609">
            <v>46.97</v>
          </cell>
        </row>
        <row r="1610">
          <cell r="A1610" t="str">
            <v>161011</v>
          </cell>
          <cell r="B1610" t="str">
            <v>INSTALACAO DE AGITADOR</v>
          </cell>
          <cell r="C1610" t="str">
            <v>UN</v>
          </cell>
          <cell r="D1610">
            <v>33.44</v>
          </cell>
        </row>
        <row r="1611">
          <cell r="A1611" t="str">
            <v>161012</v>
          </cell>
          <cell r="B1611" t="str">
            <v>INSTALACAO DE BOMBA DOSADORA</v>
          </cell>
          <cell r="C1611" t="str">
            <v>UN</v>
          </cell>
          <cell r="D1611">
            <v>65.099999999999994</v>
          </cell>
        </row>
        <row r="1612">
          <cell r="A1612" t="str">
            <v>161013</v>
          </cell>
          <cell r="B1612" t="str">
            <v>COCHO DE MADEIRA</v>
          </cell>
          <cell r="C1612" t="str">
            <v>UN</v>
          </cell>
          <cell r="D1612">
            <v>63.6</v>
          </cell>
        </row>
        <row r="1613">
          <cell r="A1613" t="str">
            <v>161014</v>
          </cell>
          <cell r="B1613" t="str">
            <v>INSTALACAO DE CORRENTE DE FERRO</v>
          </cell>
          <cell r="C1613" t="str">
            <v>KG</v>
          </cell>
          <cell r="D1613">
            <v>6.27</v>
          </cell>
        </row>
        <row r="1614">
          <cell r="A1614" t="str">
            <v>161015</v>
          </cell>
          <cell r="B1614" t="str">
            <v>INSTALACAO DE CESTO METALICO</v>
          </cell>
          <cell r="C1614" t="str">
            <v>UN</v>
          </cell>
          <cell r="D1614">
            <v>361.7</v>
          </cell>
        </row>
        <row r="1615">
          <cell r="A1615" t="str">
            <v>161016</v>
          </cell>
          <cell r="B1615" t="str">
            <v>INSTALACAO DE ANTEPARO</v>
          </cell>
          <cell r="C1615" t="str">
            <v>UN</v>
          </cell>
          <cell r="D1615">
            <v>63.65</v>
          </cell>
        </row>
        <row r="1616">
          <cell r="A1616" t="str">
            <v>161017</v>
          </cell>
          <cell r="B1616" t="str">
            <v>INSTALACAO DE HASTE DE PROLONGAMENTO COM VOLANTE</v>
          </cell>
          <cell r="C1616" t="str">
            <v>M</v>
          </cell>
          <cell r="D1616">
            <v>34.83</v>
          </cell>
        </row>
        <row r="1617">
          <cell r="A1617" t="str">
            <v>161018</v>
          </cell>
          <cell r="B1617" t="str">
            <v>INSTALACAO DE RESPIRO</v>
          </cell>
          <cell r="C1617" t="str">
            <v>UN</v>
          </cell>
          <cell r="D1617">
            <v>100.85</v>
          </cell>
        </row>
        <row r="1618">
          <cell r="A1618" t="str">
            <v>161019</v>
          </cell>
          <cell r="B1618" t="str">
            <v>COLOCACAO DE CALHA PARSHALL W: 6 POLEGADA</v>
          </cell>
          <cell r="C1618" t="str">
            <v>UN</v>
          </cell>
          <cell r="D1618">
            <v>1061.27</v>
          </cell>
        </row>
        <row r="1619">
          <cell r="A1619" t="str">
            <v>161020</v>
          </cell>
          <cell r="B1619" t="str">
            <v>COLOCACAO DE CALHA PARSHALL W : 3 POLEGADA</v>
          </cell>
          <cell r="C1619" t="str">
            <v>UN</v>
          </cell>
          <cell r="D1619">
            <v>622.37</v>
          </cell>
        </row>
        <row r="1620">
          <cell r="A1620" t="str">
            <v>161021</v>
          </cell>
          <cell r="B1620" t="str">
            <v>INSTALACAO DE TALHA E TROLEY MANUAL DE 1 TONELADA</v>
          </cell>
          <cell r="C1620" t="str">
            <v>UN</v>
          </cell>
          <cell r="D1620">
            <v>1939.48</v>
          </cell>
        </row>
        <row r="1622">
          <cell r="A1622" t="str">
            <v>161100</v>
          </cell>
          <cell r="B1622" t="str">
            <v>LEITO FILTRANTE</v>
          </cell>
        </row>
        <row r="1623">
          <cell r="A1623" t="str">
            <v>161101</v>
          </cell>
          <cell r="B1623" t="str">
            <v>COLOCACAO E APILOAMENTO DE TERRA NO FILTRO</v>
          </cell>
          <cell r="C1623" t="str">
            <v>M3</v>
          </cell>
          <cell r="D1623">
            <v>29.43</v>
          </cell>
        </row>
        <row r="1624">
          <cell r="A1624" t="str">
            <v>161102</v>
          </cell>
          <cell r="B1624" t="str">
            <v>FORNECIMENTO E ENCHIMENTO DO FILTRO COM BRITA N. 4</v>
          </cell>
          <cell r="C1624" t="str">
            <v>M3</v>
          </cell>
          <cell r="D1624">
            <v>70.64</v>
          </cell>
        </row>
        <row r="1625">
          <cell r="A1625" t="str">
            <v>161103</v>
          </cell>
          <cell r="B1625" t="str">
            <v>COLOCACAO DE AREIA NOS FILTROS</v>
          </cell>
          <cell r="C1625" t="str">
            <v>M3</v>
          </cell>
          <cell r="D1625">
            <v>29.43</v>
          </cell>
        </row>
        <row r="1626">
          <cell r="A1626" t="str">
            <v>161104</v>
          </cell>
          <cell r="B1626" t="str">
            <v>COLOCACAO DE PEDREGULHO NOS FILTROS</v>
          </cell>
          <cell r="C1626" t="str">
            <v>M3</v>
          </cell>
          <cell r="D1626">
            <v>32.21</v>
          </cell>
        </row>
        <row r="1627">
          <cell r="A1627" t="str">
            <v>161105</v>
          </cell>
          <cell r="B1627" t="str">
            <v>COLOCACAO DE ANTRACITO NOS FILTROS</v>
          </cell>
          <cell r="C1627" t="str">
            <v>M3</v>
          </cell>
          <cell r="D1627">
            <v>29.43</v>
          </cell>
        </row>
        <row r="1628">
          <cell r="A1628" t="str">
            <v>161106</v>
          </cell>
          <cell r="B1628" t="str">
            <v>ASSENTAMENTO DE BLOCOS LEOPOLD</v>
          </cell>
          <cell r="C1628" t="str">
            <v>M2</v>
          </cell>
          <cell r="D1628">
            <v>35.43</v>
          </cell>
        </row>
        <row r="1629">
          <cell r="A1629" t="str">
            <v>161107</v>
          </cell>
          <cell r="B1629" t="str">
            <v>COLOCACAO DE LONA PLASTICA</v>
          </cell>
          <cell r="C1629" t="str">
            <v>M2</v>
          </cell>
          <cell r="D1629">
            <v>6.61</v>
          </cell>
        </row>
        <row r="1631">
          <cell r="A1631" t="str">
            <v>161200</v>
          </cell>
          <cell r="B1631" t="str">
            <v>MONTAGEM DE TUBOS DE FERRO FUNDIDO (P/P)</v>
          </cell>
        </row>
        <row r="1632">
          <cell r="A1632" t="str">
            <v>161201</v>
          </cell>
          <cell r="B1632" t="str">
            <v>DIAMETRO 100 MM</v>
          </cell>
          <cell r="C1632" t="str">
            <v>M</v>
          </cell>
          <cell r="D1632">
            <v>5.41</v>
          </cell>
        </row>
        <row r="1633">
          <cell r="A1633" t="str">
            <v>161202</v>
          </cell>
          <cell r="B1633" t="str">
            <v>DIAMETRO 150 MM</v>
          </cell>
          <cell r="C1633" t="str">
            <v>M</v>
          </cell>
          <cell r="D1633">
            <v>7.12</v>
          </cell>
        </row>
        <row r="1634">
          <cell r="A1634" t="str">
            <v>161203</v>
          </cell>
          <cell r="B1634" t="str">
            <v>DIAMETRO 200 MM</v>
          </cell>
          <cell r="C1634" t="str">
            <v>M</v>
          </cell>
          <cell r="D1634">
            <v>14.94</v>
          </cell>
        </row>
        <row r="1635">
          <cell r="A1635" t="str">
            <v>161204</v>
          </cell>
          <cell r="B1635" t="str">
            <v>DIAMETRO 250 MM</v>
          </cell>
          <cell r="C1635" t="str">
            <v>M</v>
          </cell>
          <cell r="D1635">
            <v>18.260000000000002</v>
          </cell>
        </row>
        <row r="1636">
          <cell r="A1636" t="str">
            <v>161205</v>
          </cell>
          <cell r="B1636" t="str">
            <v>DIAMETRO 300 MM</v>
          </cell>
          <cell r="C1636" t="str">
            <v>M</v>
          </cell>
          <cell r="D1636">
            <v>21.61</v>
          </cell>
        </row>
        <row r="1637">
          <cell r="A1637" t="str">
            <v>161206</v>
          </cell>
          <cell r="B1637" t="str">
            <v>DIAMETRO 400 MM</v>
          </cell>
          <cell r="C1637" t="str">
            <v>M</v>
          </cell>
          <cell r="D1637">
            <v>28.87</v>
          </cell>
        </row>
        <row r="1638">
          <cell r="A1638" t="str">
            <v>161207</v>
          </cell>
          <cell r="B1638" t="str">
            <v>DIAMETRO 500 MM</v>
          </cell>
          <cell r="C1638" t="str">
            <v>M</v>
          </cell>
          <cell r="D1638">
            <v>37.75</v>
          </cell>
        </row>
        <row r="1639">
          <cell r="A1639" t="str">
            <v>161208</v>
          </cell>
          <cell r="B1639" t="str">
            <v>DIAMETRO 600 MM</v>
          </cell>
          <cell r="C1639" t="str">
            <v>M</v>
          </cell>
          <cell r="D1639">
            <v>23.47</v>
          </cell>
        </row>
        <row r="1640">
          <cell r="A1640" t="str">
            <v>161209</v>
          </cell>
          <cell r="B1640" t="str">
            <v>DIAMETRO 700 MM</v>
          </cell>
          <cell r="C1640" t="str">
            <v>M</v>
          </cell>
          <cell r="D1640">
            <v>29.02</v>
          </cell>
        </row>
        <row r="1641">
          <cell r="A1641" t="str">
            <v>161210</v>
          </cell>
          <cell r="B1641" t="str">
            <v>DIAMETRO 800 MM</v>
          </cell>
          <cell r="C1641" t="str">
            <v>M</v>
          </cell>
          <cell r="D1641">
            <v>35.47</v>
          </cell>
        </row>
        <row r="1642">
          <cell r="A1642" t="str">
            <v>161211</v>
          </cell>
          <cell r="B1642" t="str">
            <v>DIAMETRO 900 MM</v>
          </cell>
          <cell r="C1642" t="str">
            <v>M</v>
          </cell>
          <cell r="D1642">
            <v>41.56</v>
          </cell>
        </row>
        <row r="1643">
          <cell r="A1643" t="str">
            <v>161212</v>
          </cell>
          <cell r="B1643" t="str">
            <v>DIAMETRO 1000 MM</v>
          </cell>
          <cell r="C1643" t="str">
            <v>M</v>
          </cell>
          <cell r="D1643">
            <v>50.65</v>
          </cell>
        </row>
        <row r="1645">
          <cell r="A1645" t="str">
            <v>161300</v>
          </cell>
          <cell r="B1645" t="str">
            <v>MONTAGEM DE CONEXOES DE JUNTA TIPO JM (B/F)</v>
          </cell>
        </row>
        <row r="1646">
          <cell r="A1646" t="str">
            <v>161301</v>
          </cell>
          <cell r="B1646" t="str">
            <v>DIAMETRO 100 MM</v>
          </cell>
          <cell r="C1646" t="str">
            <v>UN</v>
          </cell>
          <cell r="D1646">
            <v>4.5599999999999996</v>
          </cell>
        </row>
        <row r="1647">
          <cell r="A1647" t="str">
            <v>161302</v>
          </cell>
          <cell r="B1647" t="str">
            <v>DIAMETRO 150 MM</v>
          </cell>
          <cell r="C1647" t="str">
            <v>UN</v>
          </cell>
          <cell r="D1647">
            <v>6.37</v>
          </cell>
        </row>
        <row r="1648">
          <cell r="A1648" t="str">
            <v>161303</v>
          </cell>
          <cell r="B1648" t="str">
            <v>DIAMETRO 200 MM</v>
          </cell>
          <cell r="C1648" t="str">
            <v>UN</v>
          </cell>
          <cell r="D1648">
            <v>7.63</v>
          </cell>
        </row>
        <row r="1649">
          <cell r="A1649" t="str">
            <v>161304</v>
          </cell>
          <cell r="B1649" t="str">
            <v>DIAMETRO 250 MM</v>
          </cell>
          <cell r="C1649" t="str">
            <v>UN</v>
          </cell>
          <cell r="D1649">
            <v>9.8800000000000008</v>
          </cell>
        </row>
        <row r="1650">
          <cell r="A1650" t="str">
            <v>161305</v>
          </cell>
          <cell r="B1650" t="str">
            <v>DIAMETRO 300 MM</v>
          </cell>
          <cell r="C1650" t="str">
            <v>UN</v>
          </cell>
          <cell r="D1650">
            <v>12.83</v>
          </cell>
        </row>
        <row r="1651">
          <cell r="A1651" t="str">
            <v>161306</v>
          </cell>
          <cell r="B1651" t="str">
            <v>DIAMETRO 400 MM</v>
          </cell>
          <cell r="C1651" t="str">
            <v>UN</v>
          </cell>
          <cell r="D1651">
            <v>17.48</v>
          </cell>
        </row>
        <row r="1652">
          <cell r="A1652" t="str">
            <v>161307</v>
          </cell>
          <cell r="B1652" t="str">
            <v>DIAMETRO 500 MM</v>
          </cell>
          <cell r="C1652" t="str">
            <v>UN</v>
          </cell>
          <cell r="D1652">
            <v>22.75</v>
          </cell>
        </row>
        <row r="1653">
          <cell r="A1653" t="str">
            <v>161308</v>
          </cell>
          <cell r="B1653" t="str">
            <v>DIAMETRO 600 MM</v>
          </cell>
          <cell r="C1653" t="str">
            <v>UN</v>
          </cell>
          <cell r="D1653">
            <v>29.45</v>
          </cell>
        </row>
        <row r="1654">
          <cell r="A1654" t="str">
            <v>161309</v>
          </cell>
          <cell r="B1654" t="str">
            <v>DIAMETRO 700 MM</v>
          </cell>
          <cell r="C1654" t="str">
            <v>UN</v>
          </cell>
          <cell r="D1654">
            <v>39.42</v>
          </cell>
        </row>
        <row r="1655">
          <cell r="A1655" t="str">
            <v>161310</v>
          </cell>
          <cell r="B1655" t="str">
            <v>DIAMETRO 800 MM</v>
          </cell>
          <cell r="C1655" t="str">
            <v>UN</v>
          </cell>
          <cell r="D1655">
            <v>55.36</v>
          </cell>
        </row>
        <row r="1656">
          <cell r="A1656" t="str">
            <v>161311</v>
          </cell>
          <cell r="B1656" t="str">
            <v>DIAMETRO 900 MM</v>
          </cell>
          <cell r="C1656" t="str">
            <v>UN</v>
          </cell>
          <cell r="D1656">
            <v>66.459999999999994</v>
          </cell>
        </row>
        <row r="1657">
          <cell r="A1657" t="str">
            <v>161312</v>
          </cell>
          <cell r="B1657" t="str">
            <v>DIAMETRO 1000 MM</v>
          </cell>
          <cell r="C1657" t="str">
            <v>UN</v>
          </cell>
          <cell r="D1657">
            <v>80.02</v>
          </cell>
        </row>
        <row r="1659">
          <cell r="A1659" t="str">
            <v>161400</v>
          </cell>
          <cell r="B1659" t="str">
            <v>MONTAGEM DE CONEXOES DE JUNTA TIPO JE (PB)</v>
          </cell>
        </row>
        <row r="1660">
          <cell r="A1660" t="str">
            <v>161401</v>
          </cell>
          <cell r="B1660" t="str">
            <v>DIAMETRO 100 MM</v>
          </cell>
          <cell r="C1660" t="str">
            <v>UN</v>
          </cell>
          <cell r="D1660">
            <v>4.04</v>
          </cell>
        </row>
        <row r="1661">
          <cell r="A1661" t="str">
            <v>161402</v>
          </cell>
          <cell r="B1661" t="str">
            <v>DIAMETRO 150 MM</v>
          </cell>
          <cell r="C1661" t="str">
            <v>UN</v>
          </cell>
          <cell r="D1661">
            <v>4.4400000000000004</v>
          </cell>
        </row>
        <row r="1662">
          <cell r="A1662" t="str">
            <v>161403</v>
          </cell>
          <cell r="B1662" t="str">
            <v>DIAMETRO 200 MM</v>
          </cell>
          <cell r="C1662" t="str">
            <v>UN</v>
          </cell>
          <cell r="D1662">
            <v>5.87</v>
          </cell>
        </row>
        <row r="1663">
          <cell r="A1663" t="str">
            <v>161404</v>
          </cell>
          <cell r="B1663" t="str">
            <v>DIAMETRO 250 MM</v>
          </cell>
          <cell r="C1663" t="str">
            <v>UN</v>
          </cell>
          <cell r="D1663">
            <v>7.08</v>
          </cell>
        </row>
        <row r="1664">
          <cell r="A1664" t="str">
            <v>161405</v>
          </cell>
          <cell r="B1664" t="str">
            <v>DIAMETRO 300 MM</v>
          </cell>
          <cell r="C1664" t="str">
            <v>UN</v>
          </cell>
          <cell r="D1664">
            <v>8.59</v>
          </cell>
        </row>
        <row r="1665">
          <cell r="A1665" t="str">
            <v>161406</v>
          </cell>
          <cell r="B1665" t="str">
            <v>DIAMETRO 400 MM</v>
          </cell>
          <cell r="C1665" t="str">
            <v>UN</v>
          </cell>
          <cell r="D1665">
            <v>11.18</v>
          </cell>
        </row>
        <row r="1666">
          <cell r="A1666" t="str">
            <v>161407</v>
          </cell>
          <cell r="B1666" t="str">
            <v>DIAMETRO 500 MM</v>
          </cell>
          <cell r="C1666" t="str">
            <v>UN</v>
          </cell>
          <cell r="D1666">
            <v>13.61</v>
          </cell>
        </row>
        <row r="1667">
          <cell r="A1667" t="str">
            <v>161408</v>
          </cell>
          <cell r="B1667" t="str">
            <v>DIAMETRO 600 MM</v>
          </cell>
          <cell r="C1667" t="str">
            <v>UN</v>
          </cell>
          <cell r="D1667">
            <v>16.45</v>
          </cell>
        </row>
        <row r="1668">
          <cell r="A1668" t="str">
            <v>161409</v>
          </cell>
          <cell r="B1668" t="str">
            <v>DIAMETRO 700 MM</v>
          </cell>
          <cell r="C1668" t="str">
            <v>UN</v>
          </cell>
          <cell r="D1668">
            <v>20.45</v>
          </cell>
        </row>
        <row r="1669">
          <cell r="A1669" t="str">
            <v>161410</v>
          </cell>
          <cell r="B1669" t="str">
            <v>DIAMETRO 800 MM</v>
          </cell>
          <cell r="C1669" t="str">
            <v>UN</v>
          </cell>
          <cell r="D1669">
            <v>24.67</v>
          </cell>
        </row>
        <row r="1670">
          <cell r="A1670" t="str">
            <v>161411</v>
          </cell>
          <cell r="B1670" t="str">
            <v>DIAMETRO 900 MM</v>
          </cell>
          <cell r="C1670" t="str">
            <v>UN</v>
          </cell>
          <cell r="D1670">
            <v>29.64</v>
          </cell>
        </row>
        <row r="1671">
          <cell r="A1671" t="str">
            <v>161412</v>
          </cell>
          <cell r="B1671" t="str">
            <v>DIAMETRO 1000 MM</v>
          </cell>
          <cell r="C1671" t="str">
            <v>UN</v>
          </cell>
          <cell r="D1671">
            <v>35.93</v>
          </cell>
        </row>
        <row r="1673">
          <cell r="A1673" t="str">
            <v>161500</v>
          </cell>
          <cell r="B1673" t="str">
            <v>MONTAGEM DE CONEXOES DE JUNTA FLAGEADA</v>
          </cell>
        </row>
        <row r="1674">
          <cell r="A1674" t="str">
            <v>161501</v>
          </cell>
          <cell r="B1674" t="str">
            <v>DIAMETRO 100 MM</v>
          </cell>
          <cell r="C1674" t="str">
            <v>UN</v>
          </cell>
          <cell r="D1674">
            <v>4.93</v>
          </cell>
        </row>
        <row r="1675">
          <cell r="A1675" t="str">
            <v>161502</v>
          </cell>
          <cell r="B1675" t="str">
            <v>DIAMETRO 150 MM</v>
          </cell>
          <cell r="C1675" t="str">
            <v>UN</v>
          </cell>
          <cell r="D1675">
            <v>6.96</v>
          </cell>
        </row>
        <row r="1676">
          <cell r="A1676" t="str">
            <v>161503</v>
          </cell>
          <cell r="B1676" t="str">
            <v>DIAMETRO 200 MM</v>
          </cell>
          <cell r="C1676" t="str">
            <v>UN</v>
          </cell>
          <cell r="D1676">
            <v>8.4499999999999993</v>
          </cell>
        </row>
        <row r="1677">
          <cell r="A1677" t="str">
            <v>161504</v>
          </cell>
          <cell r="B1677" t="str">
            <v>DIAMETRO 250 MM</v>
          </cell>
          <cell r="C1677" t="str">
            <v>UN</v>
          </cell>
          <cell r="D1677">
            <v>11.02</v>
          </cell>
        </row>
        <row r="1678">
          <cell r="A1678" t="str">
            <v>161505</v>
          </cell>
          <cell r="B1678" t="str">
            <v>DIAMETRO 300 MM</v>
          </cell>
          <cell r="C1678" t="str">
            <v>UN</v>
          </cell>
          <cell r="D1678">
            <v>14.32</v>
          </cell>
        </row>
        <row r="1679">
          <cell r="A1679" t="str">
            <v>161506</v>
          </cell>
          <cell r="B1679" t="str">
            <v>DIAMETRO 400 MM</v>
          </cell>
          <cell r="C1679" t="str">
            <v>UN</v>
          </cell>
          <cell r="D1679">
            <v>19.41</v>
          </cell>
        </row>
        <row r="1680">
          <cell r="A1680" t="str">
            <v>161507</v>
          </cell>
          <cell r="B1680" t="str">
            <v>DIAMETRO 500 MM</v>
          </cell>
          <cell r="C1680" t="str">
            <v>UN</v>
          </cell>
          <cell r="D1680">
            <v>25.29</v>
          </cell>
        </row>
        <row r="1681">
          <cell r="A1681" t="str">
            <v>161508</v>
          </cell>
          <cell r="B1681" t="str">
            <v>DIAMETRO 600 MM</v>
          </cell>
          <cell r="C1681" t="str">
            <v>UN</v>
          </cell>
          <cell r="D1681">
            <v>32.82</v>
          </cell>
        </row>
        <row r="1682">
          <cell r="A1682" t="str">
            <v>161509</v>
          </cell>
          <cell r="B1682" t="str">
            <v>DIAMETRO 700 MM</v>
          </cell>
          <cell r="C1682" t="str">
            <v>UN</v>
          </cell>
          <cell r="D1682">
            <v>42.62</v>
          </cell>
        </row>
        <row r="1683">
          <cell r="A1683" t="str">
            <v>161510</v>
          </cell>
          <cell r="B1683" t="str">
            <v>DIAMETRO 800 MM</v>
          </cell>
          <cell r="C1683" t="str">
            <v>UN</v>
          </cell>
          <cell r="D1683">
            <v>59.27</v>
          </cell>
        </row>
        <row r="1684">
          <cell r="A1684" t="str">
            <v>161511</v>
          </cell>
          <cell r="B1684" t="str">
            <v>DIAMETRO 900 MM</v>
          </cell>
          <cell r="C1684" t="str">
            <v>UN</v>
          </cell>
          <cell r="D1684">
            <v>71.58</v>
          </cell>
        </row>
        <row r="1685">
          <cell r="A1685" t="str">
            <v>161512</v>
          </cell>
          <cell r="B1685" t="str">
            <v>DIAMETRO 1000 MM</v>
          </cell>
          <cell r="C1685" t="str">
            <v>UN</v>
          </cell>
          <cell r="D1685">
            <v>86.07</v>
          </cell>
        </row>
        <row r="1687">
          <cell r="A1687" t="str">
            <v>161600</v>
          </cell>
          <cell r="B1687" t="str">
            <v>MONTAGEM DE CURVAS DE FERRO FUNDIDO 90 GR TIPO JM</v>
          </cell>
        </row>
        <row r="1688">
          <cell r="A1688" t="str">
            <v>161601</v>
          </cell>
          <cell r="B1688" t="str">
            <v>DIAMETRO 300 MM</v>
          </cell>
          <cell r="C1688" t="str">
            <v>UN</v>
          </cell>
          <cell r="D1688">
            <v>34.479999999999997</v>
          </cell>
        </row>
        <row r="1690">
          <cell r="A1690" t="str">
            <v>161700</v>
          </cell>
          <cell r="B1690" t="str">
            <v>MONTAGEM DE CURVAS DE FERRO FUNDIDO 45 GR TIPO JM</v>
          </cell>
        </row>
        <row r="1691">
          <cell r="A1691" t="str">
            <v>161701</v>
          </cell>
          <cell r="B1691" t="str">
            <v>DIAMETRO 300 MM</v>
          </cell>
          <cell r="C1691" t="str">
            <v>UN</v>
          </cell>
          <cell r="D1691">
            <v>32.409999999999997</v>
          </cell>
        </row>
        <row r="1692">
          <cell r="A1692" t="str">
            <v>161702</v>
          </cell>
          <cell r="B1692" t="str">
            <v>DIAMETRO 400 MM</v>
          </cell>
          <cell r="C1692" t="str">
            <v>UN</v>
          </cell>
          <cell r="D1692">
            <v>52.57</v>
          </cell>
        </row>
        <row r="1693">
          <cell r="A1693" t="str">
            <v>161703</v>
          </cell>
          <cell r="B1693" t="str">
            <v>DIAMETRO 500 MM</v>
          </cell>
          <cell r="C1693" t="str">
            <v>UN</v>
          </cell>
          <cell r="D1693">
            <v>67.25</v>
          </cell>
        </row>
        <row r="1694">
          <cell r="A1694" t="str">
            <v>161704</v>
          </cell>
          <cell r="B1694" t="str">
            <v>DIAMETRO 600 MM</v>
          </cell>
          <cell r="C1694" t="str">
            <v>UN</v>
          </cell>
          <cell r="D1694">
            <v>93</v>
          </cell>
        </row>
        <row r="1695">
          <cell r="A1695" t="str">
            <v>161705</v>
          </cell>
          <cell r="B1695" t="str">
            <v>DIAMETRO 700 MM</v>
          </cell>
          <cell r="C1695" t="str">
            <v>UN</v>
          </cell>
          <cell r="D1695">
            <v>127.21</v>
          </cell>
        </row>
        <row r="1696">
          <cell r="A1696" t="str">
            <v>161706</v>
          </cell>
          <cell r="B1696" t="str">
            <v>DIAMETRO 800 MM</v>
          </cell>
          <cell r="C1696" t="str">
            <v>UN</v>
          </cell>
          <cell r="D1696">
            <v>167.08</v>
          </cell>
        </row>
        <row r="1697">
          <cell r="A1697" t="str">
            <v>161707</v>
          </cell>
          <cell r="B1697" t="str">
            <v>DIAMETRO 900 MM</v>
          </cell>
          <cell r="C1697" t="str">
            <v>UN</v>
          </cell>
          <cell r="D1697">
            <v>198.91</v>
          </cell>
        </row>
        <row r="1698">
          <cell r="A1698" t="str">
            <v>161708</v>
          </cell>
          <cell r="B1698" t="str">
            <v>DIAMETRO 1000 MM</v>
          </cell>
          <cell r="C1698" t="str">
            <v>UN</v>
          </cell>
          <cell r="D1698">
            <v>272.5</v>
          </cell>
        </row>
        <row r="1699">
          <cell r="A1699" t="str">
            <v>161709</v>
          </cell>
          <cell r="B1699" t="str">
            <v>DIAMETRO 1200 MM</v>
          </cell>
          <cell r="C1699" t="str">
            <v>UN</v>
          </cell>
          <cell r="D1699">
            <v>267.47000000000003</v>
          </cell>
        </row>
        <row r="1701">
          <cell r="A1701" t="str">
            <v>161800</v>
          </cell>
          <cell r="B1701" t="str">
            <v>MONTAGEM DE CURVAS DE FERRO FUNDIDO 22 GR 30 MIN. TIPO JM</v>
          </cell>
        </row>
        <row r="1702">
          <cell r="A1702" t="str">
            <v>161801</v>
          </cell>
          <cell r="B1702" t="str">
            <v>DIAMETRO 300 MM</v>
          </cell>
          <cell r="C1702" t="str">
            <v>UN</v>
          </cell>
          <cell r="D1702">
            <v>31.36</v>
          </cell>
        </row>
        <row r="1703">
          <cell r="A1703" t="str">
            <v>161802</v>
          </cell>
          <cell r="B1703" t="str">
            <v>DIAMETRO 400 MM</v>
          </cell>
          <cell r="C1703" t="str">
            <v>UN</v>
          </cell>
          <cell r="D1703">
            <v>45.81</v>
          </cell>
        </row>
        <row r="1704">
          <cell r="A1704" t="str">
            <v>161803</v>
          </cell>
          <cell r="B1704" t="str">
            <v>DIAMETRO 500 MM</v>
          </cell>
          <cell r="C1704" t="str">
            <v>UN</v>
          </cell>
          <cell r="D1704">
            <v>63.21</v>
          </cell>
        </row>
        <row r="1705">
          <cell r="A1705" t="str">
            <v>161804</v>
          </cell>
          <cell r="B1705" t="str">
            <v>DIAMETRO 600 MM</v>
          </cell>
          <cell r="C1705" t="str">
            <v>UN</v>
          </cell>
          <cell r="D1705">
            <v>87.27</v>
          </cell>
        </row>
        <row r="1706">
          <cell r="A1706" t="str">
            <v>161805</v>
          </cell>
          <cell r="B1706" t="str">
            <v>DIAMETRO 700 MM</v>
          </cell>
          <cell r="C1706" t="str">
            <v>UN</v>
          </cell>
          <cell r="D1706">
            <v>119.32</v>
          </cell>
        </row>
        <row r="1707">
          <cell r="A1707" t="str">
            <v>161806</v>
          </cell>
          <cell r="B1707" t="str">
            <v>DIAMETRO 800 MM</v>
          </cell>
          <cell r="C1707" t="str">
            <v>UN</v>
          </cell>
          <cell r="D1707">
            <v>163.62</v>
          </cell>
        </row>
        <row r="1708">
          <cell r="A1708" t="str">
            <v>161807</v>
          </cell>
          <cell r="B1708" t="str">
            <v>DIAMETRO 900 MM</v>
          </cell>
          <cell r="C1708" t="str">
            <v>UN</v>
          </cell>
          <cell r="D1708">
            <v>194.99</v>
          </cell>
        </row>
        <row r="1709">
          <cell r="A1709" t="str">
            <v>161808</v>
          </cell>
          <cell r="B1709" t="str">
            <v>DIAMETRO 1000 MM</v>
          </cell>
          <cell r="C1709" t="str">
            <v>UN</v>
          </cell>
          <cell r="D1709">
            <v>228.53</v>
          </cell>
        </row>
        <row r="1710">
          <cell r="A1710" t="str">
            <v>161809</v>
          </cell>
          <cell r="B1710" t="str">
            <v>DIAMETRO 1200 MM</v>
          </cell>
          <cell r="C1710" t="str">
            <v>UN</v>
          </cell>
          <cell r="D1710">
            <v>260.60000000000002</v>
          </cell>
        </row>
        <row r="1712">
          <cell r="A1712" t="str">
            <v>161900</v>
          </cell>
          <cell r="B1712" t="str">
            <v>MONTAGEM DE CURVAS DE FERRO FUNDIDO 11 GR 15 MIN. TIPO JM</v>
          </cell>
        </row>
        <row r="1713">
          <cell r="A1713" t="str">
            <v>161901</v>
          </cell>
          <cell r="B1713" t="str">
            <v>DIAMETRO 300 MM</v>
          </cell>
          <cell r="C1713" t="str">
            <v>UN</v>
          </cell>
          <cell r="D1713">
            <v>31.18</v>
          </cell>
        </row>
        <row r="1714">
          <cell r="A1714" t="str">
            <v>161902</v>
          </cell>
          <cell r="B1714" t="str">
            <v>DIAMETRO 400 MM</v>
          </cell>
          <cell r="C1714" t="str">
            <v>UN</v>
          </cell>
          <cell r="D1714">
            <v>45.24</v>
          </cell>
        </row>
        <row r="1715">
          <cell r="A1715" t="str">
            <v>161903</v>
          </cell>
          <cell r="B1715" t="str">
            <v>DIAMETRO 500 MM</v>
          </cell>
          <cell r="C1715" t="str">
            <v>UN</v>
          </cell>
          <cell r="D1715">
            <v>61.89</v>
          </cell>
        </row>
        <row r="1716">
          <cell r="A1716" t="str">
            <v>161904</v>
          </cell>
          <cell r="B1716" t="str">
            <v>DIAMETRO 600 MM</v>
          </cell>
          <cell r="C1716" t="str">
            <v>UN</v>
          </cell>
          <cell r="D1716">
            <v>82.28</v>
          </cell>
        </row>
        <row r="1717">
          <cell r="A1717" t="str">
            <v>161905</v>
          </cell>
          <cell r="B1717" t="str">
            <v>DIAMETRO 700 MM</v>
          </cell>
          <cell r="C1717" t="str">
            <v>UN</v>
          </cell>
          <cell r="D1717">
            <v>114.39</v>
          </cell>
        </row>
        <row r="1718">
          <cell r="A1718" t="str">
            <v>161906</v>
          </cell>
          <cell r="B1718" t="str">
            <v>DIAMETRO 800 MM</v>
          </cell>
          <cell r="C1718" t="str">
            <v>UN</v>
          </cell>
          <cell r="D1718">
            <v>162.69</v>
          </cell>
        </row>
        <row r="1719">
          <cell r="A1719" t="str">
            <v>161907</v>
          </cell>
          <cell r="B1719" t="str">
            <v>DIAMETRO 900 MM</v>
          </cell>
          <cell r="C1719" t="str">
            <v>UN</v>
          </cell>
          <cell r="D1719">
            <v>194.52</v>
          </cell>
        </row>
        <row r="1720">
          <cell r="A1720" t="str">
            <v>161908</v>
          </cell>
          <cell r="B1720" t="str">
            <v>DIAMETRO 1000 MM</v>
          </cell>
          <cell r="C1720" t="str">
            <v>UN</v>
          </cell>
          <cell r="D1720">
            <v>226.57</v>
          </cell>
        </row>
        <row r="1721">
          <cell r="A1721" t="str">
            <v>161909</v>
          </cell>
          <cell r="B1721" t="str">
            <v>DIAMETRO 1200 MM</v>
          </cell>
          <cell r="C1721" t="str">
            <v>UN</v>
          </cell>
          <cell r="D1721">
            <v>251.86</v>
          </cell>
        </row>
        <row r="1723">
          <cell r="A1723" t="str">
            <v>162000</v>
          </cell>
          <cell r="B1723" t="str">
            <v>MONTAGEM DE TES DE FERRO FUNDIDO TIPO JM/F</v>
          </cell>
        </row>
        <row r="1724">
          <cell r="A1724" t="str">
            <v>162001</v>
          </cell>
          <cell r="B1724" t="str">
            <v>DIAMETRO 300-100 MM</v>
          </cell>
          <cell r="C1724" t="str">
            <v>UN</v>
          </cell>
          <cell r="D1724">
            <v>37.979999999999997</v>
          </cell>
        </row>
        <row r="1725">
          <cell r="A1725" t="str">
            <v>162002</v>
          </cell>
          <cell r="B1725" t="str">
            <v>DIAMETRO 300-200 MM</v>
          </cell>
          <cell r="C1725" t="str">
            <v>UN</v>
          </cell>
          <cell r="D1725">
            <v>42.93</v>
          </cell>
        </row>
        <row r="1726">
          <cell r="A1726" t="str">
            <v>162003</v>
          </cell>
          <cell r="B1726" t="str">
            <v>DIAMETRO 300-300 MM</v>
          </cell>
          <cell r="C1726" t="str">
            <v>UN</v>
          </cell>
          <cell r="D1726">
            <v>50.72</v>
          </cell>
        </row>
        <row r="1727">
          <cell r="A1727" t="str">
            <v>162004</v>
          </cell>
          <cell r="B1727" t="str">
            <v>DIAMETRO 350-100 MM</v>
          </cell>
          <cell r="C1727" t="str">
            <v>UN</v>
          </cell>
          <cell r="D1727">
            <v>41.37</v>
          </cell>
        </row>
        <row r="1728">
          <cell r="A1728" t="str">
            <v>162005</v>
          </cell>
          <cell r="B1728" t="str">
            <v>DIAMETRO 350-200 MM</v>
          </cell>
          <cell r="C1728" t="str">
            <v>UN</v>
          </cell>
          <cell r="D1728">
            <v>46.58</v>
          </cell>
        </row>
        <row r="1729">
          <cell r="A1729" t="str">
            <v>162006</v>
          </cell>
          <cell r="B1729" t="str">
            <v>DIAMETRO 350-350 MM</v>
          </cell>
          <cell r="C1729" t="str">
            <v>UN</v>
          </cell>
          <cell r="D1729">
            <v>56.16</v>
          </cell>
        </row>
        <row r="1730">
          <cell r="A1730" t="str">
            <v>162007</v>
          </cell>
          <cell r="B1730" t="str">
            <v>DIAMETRO 400-100 MM</v>
          </cell>
          <cell r="C1730" t="str">
            <v>UN</v>
          </cell>
          <cell r="D1730">
            <v>52.1</v>
          </cell>
        </row>
        <row r="1731">
          <cell r="A1731" t="str">
            <v>162008</v>
          </cell>
          <cell r="B1731" t="str">
            <v>DIAMETRO 400-200 MM</v>
          </cell>
          <cell r="C1731" t="str">
            <v>UN</v>
          </cell>
          <cell r="D1731">
            <v>57.69</v>
          </cell>
        </row>
        <row r="1732">
          <cell r="A1732" t="str">
            <v>162009</v>
          </cell>
          <cell r="B1732" t="str">
            <v>DIAMETRO 400-300 MM</v>
          </cell>
          <cell r="C1732" t="str">
            <v>UN</v>
          </cell>
          <cell r="D1732">
            <v>65.709999999999994</v>
          </cell>
        </row>
        <row r="1733">
          <cell r="A1733" t="str">
            <v>162010</v>
          </cell>
          <cell r="B1733" t="str">
            <v>DIAMETRO 400-400 MM</v>
          </cell>
          <cell r="C1733" t="str">
            <v>UN</v>
          </cell>
          <cell r="D1733">
            <v>73.319999999999993</v>
          </cell>
        </row>
        <row r="1734">
          <cell r="A1734" t="str">
            <v>162011</v>
          </cell>
          <cell r="B1734" t="str">
            <v>DIAMETRO 500-100 MM</v>
          </cell>
          <cell r="C1734" t="str">
            <v>UN</v>
          </cell>
          <cell r="D1734">
            <v>69.19</v>
          </cell>
        </row>
        <row r="1735">
          <cell r="A1735" t="str">
            <v>162012</v>
          </cell>
          <cell r="B1735" t="str">
            <v>DIAMETRO 500-200 MM</v>
          </cell>
          <cell r="C1735" t="str">
            <v>UN</v>
          </cell>
          <cell r="D1735">
            <v>75.37</v>
          </cell>
        </row>
        <row r="1736">
          <cell r="A1736" t="str">
            <v>162013</v>
          </cell>
          <cell r="B1736" t="str">
            <v>DIAMETRO 500-300 MM</v>
          </cell>
          <cell r="C1736" t="str">
            <v>UN</v>
          </cell>
          <cell r="D1736">
            <v>84.16</v>
          </cell>
        </row>
        <row r="1737">
          <cell r="A1737" t="str">
            <v>162014</v>
          </cell>
          <cell r="B1737" t="str">
            <v>DIAMETRO 500-400 MM</v>
          </cell>
          <cell r="C1737" t="str">
            <v>UN</v>
          </cell>
          <cell r="D1737">
            <v>92.95</v>
          </cell>
        </row>
        <row r="1738">
          <cell r="A1738" t="str">
            <v>162015</v>
          </cell>
          <cell r="B1738" t="str">
            <v>DIAMETRO 500-500 MM</v>
          </cell>
          <cell r="C1738" t="str">
            <v>UN</v>
          </cell>
          <cell r="D1738">
            <v>101.98</v>
          </cell>
        </row>
        <row r="1739">
          <cell r="A1739" t="str">
            <v>162016</v>
          </cell>
          <cell r="B1739" t="str">
            <v>DIAMETRO 600-100 MM</v>
          </cell>
          <cell r="C1739" t="str">
            <v>UN</v>
          </cell>
          <cell r="D1739">
            <v>90.98</v>
          </cell>
        </row>
        <row r="1740">
          <cell r="A1740" t="str">
            <v>162017</v>
          </cell>
          <cell r="B1740" t="str">
            <v>DIAMETRO 600-200 MM</v>
          </cell>
          <cell r="C1740" t="str">
            <v>UN</v>
          </cell>
          <cell r="D1740">
            <v>98.55</v>
          </cell>
        </row>
        <row r="1741">
          <cell r="A1741" t="str">
            <v>162018</v>
          </cell>
          <cell r="B1741" t="str">
            <v>DIAMETRO 600 - 300MM</v>
          </cell>
          <cell r="C1741" t="str">
            <v>UN</v>
          </cell>
          <cell r="D1741">
            <v>108.83</v>
          </cell>
        </row>
        <row r="1742">
          <cell r="A1742" t="str">
            <v>162019</v>
          </cell>
          <cell r="B1742" t="str">
            <v>DIAMETRO 600-400 MM</v>
          </cell>
          <cell r="C1742" t="str">
            <v>UN</v>
          </cell>
          <cell r="D1742">
            <v>119.14</v>
          </cell>
        </row>
        <row r="1743">
          <cell r="A1743" t="str">
            <v>162020</v>
          </cell>
          <cell r="B1743" t="str">
            <v>DIAMETRO 600-600 MM</v>
          </cell>
          <cell r="C1743" t="str">
            <v>UN</v>
          </cell>
          <cell r="D1743">
            <v>143.34</v>
          </cell>
        </row>
        <row r="1744">
          <cell r="A1744" t="str">
            <v>162021</v>
          </cell>
          <cell r="B1744" t="str">
            <v>DIAMETRO 700-200 MM</v>
          </cell>
          <cell r="C1744" t="str">
            <v>UN</v>
          </cell>
          <cell r="D1744">
            <v>128.63</v>
          </cell>
        </row>
        <row r="1745">
          <cell r="A1745" t="str">
            <v>162022</v>
          </cell>
          <cell r="B1745" t="str">
            <v>DIAMETRO 700-400 MM</v>
          </cell>
          <cell r="C1745" t="str">
            <v>UN</v>
          </cell>
          <cell r="D1745">
            <v>149.38</v>
          </cell>
        </row>
        <row r="1746">
          <cell r="A1746" t="str">
            <v>162023</v>
          </cell>
          <cell r="B1746" t="str">
            <v>DIAMETRO 700-600 MM</v>
          </cell>
          <cell r="C1746" t="str">
            <v>UN</v>
          </cell>
          <cell r="D1746">
            <v>177.38</v>
          </cell>
        </row>
        <row r="1747">
          <cell r="A1747" t="str">
            <v>162024</v>
          </cell>
          <cell r="B1747" t="str">
            <v>DIAMETRO 700-700 MM</v>
          </cell>
          <cell r="C1747" t="str">
            <v>UN</v>
          </cell>
          <cell r="D1747">
            <v>190.68</v>
          </cell>
        </row>
        <row r="1748">
          <cell r="A1748" t="str">
            <v>162025</v>
          </cell>
          <cell r="B1748" t="str">
            <v>DIAMETRO 800-200 MM</v>
          </cell>
          <cell r="C1748" t="str">
            <v>UN</v>
          </cell>
          <cell r="D1748">
            <v>179.58</v>
          </cell>
        </row>
        <row r="1749">
          <cell r="A1749" t="str">
            <v>162026</v>
          </cell>
          <cell r="B1749" t="str">
            <v>DIAMETRO 800-400 MM</v>
          </cell>
          <cell r="C1749" t="str">
            <v>UN</v>
          </cell>
          <cell r="D1749">
            <v>204.8</v>
          </cell>
        </row>
        <row r="1750">
          <cell r="A1750" t="str">
            <v>162027</v>
          </cell>
          <cell r="B1750" t="str">
            <v>DIAMETRO 800-600 MM</v>
          </cell>
          <cell r="C1750" t="str">
            <v>UN</v>
          </cell>
          <cell r="D1750">
            <v>248.11</v>
          </cell>
        </row>
        <row r="1751">
          <cell r="A1751" t="str">
            <v>162028</v>
          </cell>
          <cell r="B1751" t="str">
            <v>DIAMETRO 800-800 MM</v>
          </cell>
          <cell r="C1751" t="str">
            <v>UN</v>
          </cell>
          <cell r="D1751">
            <v>272.95</v>
          </cell>
        </row>
        <row r="1752">
          <cell r="A1752" t="str">
            <v>162029</v>
          </cell>
          <cell r="B1752" t="str">
            <v>DIAMETRO 900-200 MM</v>
          </cell>
          <cell r="C1752" t="str">
            <v>UN</v>
          </cell>
          <cell r="D1752">
            <v>216.52</v>
          </cell>
        </row>
        <row r="1753">
          <cell r="A1753" t="str">
            <v>162030</v>
          </cell>
          <cell r="B1753" t="str">
            <v>DIAMETRO 900-400 MM</v>
          </cell>
          <cell r="C1753" t="str">
            <v>UN</v>
          </cell>
          <cell r="D1753">
            <v>249.08</v>
          </cell>
        </row>
        <row r="1754">
          <cell r="A1754" t="str">
            <v>162031</v>
          </cell>
          <cell r="B1754" t="str">
            <v>DIAMETRO 900-600 MM</v>
          </cell>
          <cell r="C1754" t="str">
            <v>UN</v>
          </cell>
          <cell r="D1754">
            <v>299.63</v>
          </cell>
        </row>
        <row r="1755">
          <cell r="A1755" t="str">
            <v>162032</v>
          </cell>
          <cell r="B1755" t="str">
            <v>DIAMETRO 900-800 MM</v>
          </cell>
          <cell r="C1755" t="str">
            <v>UN</v>
          </cell>
          <cell r="D1755">
            <v>333.73</v>
          </cell>
        </row>
        <row r="1756">
          <cell r="A1756" t="str">
            <v>162033</v>
          </cell>
          <cell r="B1756" t="str">
            <v>DIAMETRO 900-900 MM</v>
          </cell>
          <cell r="C1756" t="str">
            <v>UN</v>
          </cell>
          <cell r="D1756">
            <v>354.45</v>
          </cell>
        </row>
        <row r="1757">
          <cell r="A1757" t="str">
            <v>162034</v>
          </cell>
          <cell r="B1757" t="str">
            <v>DIAMETRO 1000-200 MM</v>
          </cell>
          <cell r="C1757" t="str">
            <v>UN</v>
          </cell>
          <cell r="D1757">
            <v>273.62</v>
          </cell>
        </row>
        <row r="1758">
          <cell r="A1758" t="str">
            <v>162035</v>
          </cell>
          <cell r="B1758" t="str">
            <v>DIAMETRO 1000-400 MM</v>
          </cell>
          <cell r="C1758" t="str">
            <v>UN</v>
          </cell>
          <cell r="D1758">
            <v>305.27999999999997</v>
          </cell>
        </row>
        <row r="1759">
          <cell r="A1759" t="str">
            <v>162036</v>
          </cell>
          <cell r="B1759" t="str">
            <v>DIAMETRO 1000-600 MM</v>
          </cell>
          <cell r="C1759" t="str">
            <v>UN</v>
          </cell>
          <cell r="D1759">
            <v>357.01</v>
          </cell>
        </row>
        <row r="1760">
          <cell r="A1760" t="str">
            <v>162037</v>
          </cell>
          <cell r="B1760" t="str">
            <v>DIAMETRO 1000-800 MM</v>
          </cell>
          <cell r="C1760" t="str">
            <v>UN</v>
          </cell>
          <cell r="D1760">
            <v>398</v>
          </cell>
        </row>
        <row r="1761">
          <cell r="A1761" t="str">
            <v>162038</v>
          </cell>
          <cell r="B1761" t="str">
            <v>DIAMETRO 1000-1000 MM</v>
          </cell>
          <cell r="C1761" t="str">
            <v>UN</v>
          </cell>
          <cell r="D1761">
            <v>437.13</v>
          </cell>
        </row>
        <row r="1762">
          <cell r="A1762" t="str">
            <v>162039</v>
          </cell>
          <cell r="B1762" t="str">
            <v>DIAMETRO 1200-200 MM</v>
          </cell>
          <cell r="C1762" t="str">
            <v>UN</v>
          </cell>
          <cell r="D1762">
            <v>326.95</v>
          </cell>
        </row>
        <row r="1763">
          <cell r="A1763" t="str">
            <v>162040</v>
          </cell>
          <cell r="B1763" t="str">
            <v>DIAMETRO 1200-400 MM</v>
          </cell>
          <cell r="C1763" t="str">
            <v>UN</v>
          </cell>
          <cell r="D1763">
            <v>365.36</v>
          </cell>
        </row>
        <row r="1764">
          <cell r="A1764" t="str">
            <v>162041</v>
          </cell>
          <cell r="B1764" t="str">
            <v>DIAMETRO 1200-600 MM</v>
          </cell>
          <cell r="C1764" t="str">
            <v>UN</v>
          </cell>
          <cell r="D1764">
            <v>425.46</v>
          </cell>
        </row>
        <row r="1765">
          <cell r="A1765" t="str">
            <v>162042</v>
          </cell>
          <cell r="B1765" t="str">
            <v>DIAMETRO 1200-800 MM</v>
          </cell>
          <cell r="C1765" t="str">
            <v>UN</v>
          </cell>
          <cell r="D1765">
            <v>484</v>
          </cell>
        </row>
        <row r="1766">
          <cell r="A1766" t="str">
            <v>162043</v>
          </cell>
          <cell r="B1766" t="str">
            <v>DIAMETRO 1200-1000 MM</v>
          </cell>
          <cell r="C1766" t="str">
            <v>UN</v>
          </cell>
          <cell r="D1766">
            <v>534.77</v>
          </cell>
        </row>
        <row r="1767">
          <cell r="A1767" t="str">
            <v>162044</v>
          </cell>
          <cell r="B1767" t="str">
            <v>DIAMETRO 1200-1200 MM</v>
          </cell>
          <cell r="C1767" t="str">
            <v>UN</v>
          </cell>
          <cell r="D1767">
            <v>562.84</v>
          </cell>
        </row>
        <row r="1769">
          <cell r="A1769" t="str">
            <v>162100</v>
          </cell>
          <cell r="B1769" t="str">
            <v>MONTAGEM DE REDUCOES DE FERRO FUNDIDO TIPO JM</v>
          </cell>
        </row>
        <row r="1770">
          <cell r="A1770" t="str">
            <v>162101</v>
          </cell>
          <cell r="B1770" t="str">
            <v>DIAMETRO 300-150 MM</v>
          </cell>
          <cell r="C1770" t="str">
            <v>UN</v>
          </cell>
          <cell r="D1770">
            <v>30.45</v>
          </cell>
        </row>
        <row r="1771">
          <cell r="A1771" t="str">
            <v>162102</v>
          </cell>
          <cell r="B1771" t="str">
            <v>DIAMETRO 300-200 MM</v>
          </cell>
          <cell r="C1771" t="str">
            <v>UN</v>
          </cell>
          <cell r="D1771">
            <v>30.8</v>
          </cell>
        </row>
        <row r="1772">
          <cell r="A1772" t="str">
            <v>162103</v>
          </cell>
          <cell r="B1772" t="str">
            <v>DIAMETRO 300-250 MM</v>
          </cell>
          <cell r="C1772" t="str">
            <v>UN</v>
          </cell>
          <cell r="D1772">
            <v>31.13</v>
          </cell>
        </row>
        <row r="1773">
          <cell r="A1773" t="str">
            <v>162104</v>
          </cell>
          <cell r="B1773" t="str">
            <v>DIAMETRO 350-200 MM</v>
          </cell>
          <cell r="C1773" t="str">
            <v>UN</v>
          </cell>
          <cell r="D1773">
            <v>41.6</v>
          </cell>
        </row>
        <row r="1774">
          <cell r="A1774" t="str">
            <v>162105</v>
          </cell>
          <cell r="B1774" t="str">
            <v>DIAMETRO 350-250 MM</v>
          </cell>
          <cell r="C1774" t="str">
            <v>UN</v>
          </cell>
          <cell r="D1774">
            <v>41.86</v>
          </cell>
        </row>
        <row r="1775">
          <cell r="A1775" t="str">
            <v>162106</v>
          </cell>
          <cell r="B1775" t="str">
            <v>DIAMETRO 350-300 MM</v>
          </cell>
          <cell r="C1775" t="str">
            <v>UN</v>
          </cell>
          <cell r="D1775">
            <v>42.01</v>
          </cell>
        </row>
        <row r="1776">
          <cell r="A1776" t="str">
            <v>162107</v>
          </cell>
          <cell r="B1776" t="str">
            <v>DIAMETRO 400-250 MM</v>
          </cell>
          <cell r="C1776" t="str">
            <v>UN</v>
          </cell>
          <cell r="D1776">
            <v>44.04</v>
          </cell>
        </row>
        <row r="1777">
          <cell r="A1777" t="str">
            <v>162108</v>
          </cell>
          <cell r="B1777" t="str">
            <v>DIAMETRO 400-300 MM</v>
          </cell>
          <cell r="C1777" t="str">
            <v>UN</v>
          </cell>
          <cell r="D1777">
            <v>44.1</v>
          </cell>
        </row>
        <row r="1778">
          <cell r="A1778" t="str">
            <v>162109</v>
          </cell>
          <cell r="B1778" t="str">
            <v>DIAMETRO 400-350 MM</v>
          </cell>
          <cell r="C1778" t="str">
            <v>UN</v>
          </cell>
          <cell r="D1778">
            <v>44.59</v>
          </cell>
        </row>
        <row r="1779">
          <cell r="A1779" t="str">
            <v>162110</v>
          </cell>
          <cell r="B1779" t="str">
            <v>DIAMETRO 500-350 MM</v>
          </cell>
          <cell r="C1779" t="str">
            <v>UN</v>
          </cell>
          <cell r="D1779">
            <v>60.47</v>
          </cell>
        </row>
        <row r="1780">
          <cell r="A1780" t="str">
            <v>162111</v>
          </cell>
          <cell r="B1780" t="str">
            <v>DIAMETRO 500-400 MM</v>
          </cell>
          <cell r="C1780" t="str">
            <v>UN</v>
          </cell>
          <cell r="D1780">
            <v>68.44</v>
          </cell>
        </row>
        <row r="1781">
          <cell r="A1781" t="str">
            <v>162112</v>
          </cell>
          <cell r="B1781" t="str">
            <v>DIAMETRO 600-400 MM</v>
          </cell>
          <cell r="C1781" t="str">
            <v>UN</v>
          </cell>
          <cell r="D1781">
            <v>80.75</v>
          </cell>
        </row>
        <row r="1782">
          <cell r="A1782" t="str">
            <v>162113</v>
          </cell>
          <cell r="B1782" t="str">
            <v>DIAMETRO 600-500 MM</v>
          </cell>
          <cell r="C1782" t="str">
            <v>UN</v>
          </cell>
          <cell r="D1782">
            <v>81.11</v>
          </cell>
        </row>
        <row r="1783">
          <cell r="A1783" t="str">
            <v>162114</v>
          </cell>
          <cell r="B1783" t="str">
            <v>DIAMETRO 700-500 MM</v>
          </cell>
          <cell r="C1783" t="str">
            <v>UN</v>
          </cell>
          <cell r="D1783">
            <v>112.98</v>
          </cell>
        </row>
        <row r="1784">
          <cell r="A1784" t="str">
            <v>162115</v>
          </cell>
          <cell r="B1784" t="str">
            <v>DIAMETRO 700-600 MM</v>
          </cell>
          <cell r="C1784" t="str">
            <v>UN</v>
          </cell>
          <cell r="D1784">
            <v>135.55000000000001</v>
          </cell>
        </row>
        <row r="1785">
          <cell r="A1785" t="str">
            <v>162116</v>
          </cell>
          <cell r="B1785" t="str">
            <v>DIAMETRO 800-600 MM</v>
          </cell>
          <cell r="C1785" t="str">
            <v>UN</v>
          </cell>
          <cell r="D1785">
            <v>159</v>
          </cell>
        </row>
        <row r="1786">
          <cell r="A1786" t="str">
            <v>162117</v>
          </cell>
          <cell r="B1786" t="str">
            <v>DIAMETRO 800-700 MM</v>
          </cell>
          <cell r="C1786" t="str">
            <v>UN</v>
          </cell>
          <cell r="D1786">
            <v>168.41</v>
          </cell>
        </row>
        <row r="1787">
          <cell r="A1787" t="str">
            <v>162118</v>
          </cell>
          <cell r="B1787" t="str">
            <v>DIAMETRO 900-700 MM</v>
          </cell>
          <cell r="C1787" t="str">
            <v>UN</v>
          </cell>
          <cell r="D1787">
            <v>195.49</v>
          </cell>
        </row>
        <row r="1788">
          <cell r="A1788" t="str">
            <v>162119</v>
          </cell>
          <cell r="B1788" t="str">
            <v>DIAMETRO 900-800 MM</v>
          </cell>
          <cell r="C1788" t="str">
            <v>UN</v>
          </cell>
          <cell r="D1788">
            <v>205.27</v>
          </cell>
        </row>
        <row r="1789">
          <cell r="A1789" t="str">
            <v>162120</v>
          </cell>
          <cell r="B1789" t="str">
            <v>DIAMETRO 1000-800 MM</v>
          </cell>
          <cell r="C1789" t="str">
            <v>UN</v>
          </cell>
          <cell r="D1789">
            <v>240.34</v>
          </cell>
        </row>
        <row r="1790">
          <cell r="A1790" t="str">
            <v>162121</v>
          </cell>
          <cell r="B1790" t="str">
            <v>DIAMETRO 1000-900 MM</v>
          </cell>
          <cell r="C1790" t="str">
            <v>UN</v>
          </cell>
          <cell r="D1790">
            <v>245.33</v>
          </cell>
        </row>
        <row r="1791">
          <cell r="A1791" t="str">
            <v>162122</v>
          </cell>
          <cell r="B1791" t="str">
            <v>DIAMETRO 1200-1000 MM</v>
          </cell>
          <cell r="C1791" t="str">
            <v>UN</v>
          </cell>
          <cell r="D1791">
            <v>278.26</v>
          </cell>
        </row>
        <row r="1793">
          <cell r="A1793" t="str">
            <v>162200</v>
          </cell>
          <cell r="B1793" t="str">
            <v>MONTAGEM DE LUVAS DE CORRER DE FERRO FUNDIDO TIPO JM</v>
          </cell>
        </row>
        <row r="1794">
          <cell r="A1794" t="str">
            <v>162201</v>
          </cell>
          <cell r="B1794" t="str">
            <v>DIAMETRO 100 MM</v>
          </cell>
          <cell r="C1794" t="str">
            <v>UN</v>
          </cell>
          <cell r="D1794">
            <v>10.77</v>
          </cell>
        </row>
        <row r="1795">
          <cell r="A1795" t="str">
            <v>162202</v>
          </cell>
          <cell r="B1795" t="str">
            <v>DIAMETRO 150 MM</v>
          </cell>
          <cell r="C1795" t="str">
            <v>UN</v>
          </cell>
          <cell r="D1795">
            <v>14.96</v>
          </cell>
        </row>
        <row r="1796">
          <cell r="A1796" t="str">
            <v>162203</v>
          </cell>
          <cell r="B1796" t="str">
            <v>DIAMETRO 200 MM</v>
          </cell>
          <cell r="C1796" t="str">
            <v>UN</v>
          </cell>
          <cell r="D1796">
            <v>18.38</v>
          </cell>
        </row>
        <row r="1797">
          <cell r="A1797" t="str">
            <v>162204</v>
          </cell>
          <cell r="B1797" t="str">
            <v>DIAMETRO 250 MM</v>
          </cell>
          <cell r="C1797" t="str">
            <v>UN</v>
          </cell>
          <cell r="D1797">
            <v>24.48</v>
          </cell>
        </row>
        <row r="1798">
          <cell r="A1798" t="str">
            <v>162205</v>
          </cell>
          <cell r="B1798" t="str">
            <v>DIAMETRO 300 MM</v>
          </cell>
          <cell r="C1798" t="str">
            <v>UN</v>
          </cell>
          <cell r="D1798">
            <v>31.95</v>
          </cell>
        </row>
        <row r="1799">
          <cell r="A1799" t="str">
            <v>162206</v>
          </cell>
          <cell r="B1799" t="str">
            <v>DIAMETRO 400 MM</v>
          </cell>
          <cell r="C1799" t="str">
            <v>UN</v>
          </cell>
          <cell r="D1799">
            <v>45.51</v>
          </cell>
        </row>
        <row r="1800">
          <cell r="A1800" t="str">
            <v>162207</v>
          </cell>
          <cell r="B1800" t="str">
            <v>DIAMETRO 500 MM</v>
          </cell>
          <cell r="C1800" t="str">
            <v>UN</v>
          </cell>
          <cell r="D1800">
            <v>59.27</v>
          </cell>
        </row>
        <row r="1801">
          <cell r="A1801" t="str">
            <v>162208</v>
          </cell>
          <cell r="B1801" t="str">
            <v>DIAMETRO 600 MM</v>
          </cell>
          <cell r="C1801" t="str">
            <v>UN</v>
          </cell>
          <cell r="D1801">
            <v>83.68</v>
          </cell>
        </row>
        <row r="1802">
          <cell r="A1802" t="str">
            <v>162209</v>
          </cell>
          <cell r="B1802" t="str">
            <v>DIAMETRO 700 MM</v>
          </cell>
          <cell r="C1802" t="str">
            <v>UN</v>
          </cell>
          <cell r="D1802">
            <v>113.4</v>
          </cell>
        </row>
        <row r="1803">
          <cell r="A1803" t="str">
            <v>162210</v>
          </cell>
          <cell r="B1803" t="str">
            <v>DIAMETRO 800 MM</v>
          </cell>
          <cell r="C1803" t="str">
            <v>UN</v>
          </cell>
          <cell r="D1803">
            <v>161.75</v>
          </cell>
        </row>
        <row r="1804">
          <cell r="A1804" t="str">
            <v>162211</v>
          </cell>
          <cell r="B1804" t="str">
            <v>DIAMETRO 900 MM</v>
          </cell>
          <cell r="C1804" t="str">
            <v>UN</v>
          </cell>
          <cell r="D1804">
            <v>190.33</v>
          </cell>
        </row>
        <row r="1805">
          <cell r="A1805" t="str">
            <v>162212</v>
          </cell>
          <cell r="B1805" t="str">
            <v>DIAMETRO 1000 MM</v>
          </cell>
          <cell r="C1805" t="str">
            <v>UN</v>
          </cell>
          <cell r="D1805">
            <v>225.4</v>
          </cell>
        </row>
        <row r="1806">
          <cell r="A1806" t="str">
            <v>162213</v>
          </cell>
          <cell r="B1806" t="str">
            <v>DIAMETRO 1200 MM</v>
          </cell>
          <cell r="C1806" t="str">
            <v>UN</v>
          </cell>
          <cell r="D1806">
            <v>249.76</v>
          </cell>
        </row>
        <row r="1808">
          <cell r="A1808" t="str">
            <v>162300</v>
          </cell>
          <cell r="B1808" t="str">
            <v>MONTAGEM DE EXTREMIDADES DE FERRO FUNDIDO TIPO JM/F</v>
          </cell>
        </row>
        <row r="1809">
          <cell r="A1809" t="str">
            <v>162301</v>
          </cell>
          <cell r="B1809" t="str">
            <v>DIAMETRO 300 MM</v>
          </cell>
          <cell r="C1809" t="str">
            <v>UN</v>
          </cell>
          <cell r="D1809">
            <v>43.02</v>
          </cell>
        </row>
        <row r="1810">
          <cell r="A1810" t="str">
            <v>162302</v>
          </cell>
          <cell r="B1810" t="str">
            <v>DIAMETRO 400 MM</v>
          </cell>
          <cell r="C1810" t="str">
            <v>UN</v>
          </cell>
          <cell r="D1810">
            <v>60.11</v>
          </cell>
        </row>
        <row r="1811">
          <cell r="A1811" t="str">
            <v>162303</v>
          </cell>
          <cell r="B1811" t="str">
            <v>DIAMETRO 500 MM</v>
          </cell>
          <cell r="C1811" t="str">
            <v>UN</v>
          </cell>
          <cell r="D1811">
            <v>81.62</v>
          </cell>
        </row>
        <row r="1812">
          <cell r="A1812" t="str">
            <v>162304</v>
          </cell>
          <cell r="B1812" t="str">
            <v>DIAMETRO 600 MM</v>
          </cell>
          <cell r="C1812" t="str">
            <v>UN</v>
          </cell>
          <cell r="D1812">
            <v>107.37</v>
          </cell>
        </row>
        <row r="1813">
          <cell r="A1813" t="str">
            <v>162305</v>
          </cell>
          <cell r="B1813" t="str">
            <v>DIAMETRO 700 MM</v>
          </cell>
          <cell r="C1813" t="str">
            <v>UN</v>
          </cell>
          <cell r="D1813">
            <v>142.41999999999999</v>
          </cell>
        </row>
        <row r="1814">
          <cell r="A1814" t="str">
            <v>162306</v>
          </cell>
          <cell r="B1814" t="str">
            <v>DIAMETRO 800 MM</v>
          </cell>
          <cell r="C1814" t="str">
            <v>UN</v>
          </cell>
          <cell r="D1814">
            <v>211.21</v>
          </cell>
        </row>
        <row r="1815">
          <cell r="A1815" t="str">
            <v>162307</v>
          </cell>
          <cell r="B1815" t="str">
            <v>DIAMETRO 900 MM</v>
          </cell>
          <cell r="C1815" t="str">
            <v>UN</v>
          </cell>
          <cell r="D1815">
            <v>244.87</v>
          </cell>
        </row>
        <row r="1816">
          <cell r="A1816" t="str">
            <v>162308</v>
          </cell>
          <cell r="B1816" t="str">
            <v>DIAMETRO 1000 MM</v>
          </cell>
          <cell r="C1816" t="str">
            <v>UN</v>
          </cell>
          <cell r="D1816">
            <v>296.32</v>
          </cell>
        </row>
        <row r="1817">
          <cell r="A1817" t="str">
            <v>162309</v>
          </cell>
          <cell r="B1817" t="str">
            <v>DIAMETRO 1200 MM</v>
          </cell>
          <cell r="C1817" t="str">
            <v>UN</v>
          </cell>
          <cell r="D1817">
            <v>321.45999999999998</v>
          </cell>
        </row>
        <row r="1819">
          <cell r="A1819" t="str">
            <v>162400</v>
          </cell>
          <cell r="B1819" t="str">
            <v>MONTAGEM CURVAS DE FERRO FUNDIDO 90 GR TIPO JE</v>
          </cell>
        </row>
        <row r="1820">
          <cell r="A1820" t="str">
            <v>162401</v>
          </cell>
          <cell r="B1820" t="str">
            <v>DIAMETRO 100 MM</v>
          </cell>
          <cell r="C1820" t="str">
            <v>UN</v>
          </cell>
          <cell r="D1820">
            <v>8.67</v>
          </cell>
        </row>
        <row r="1821">
          <cell r="A1821" t="str">
            <v>162402</v>
          </cell>
          <cell r="B1821" t="str">
            <v>DIAMETRO 150 MM</v>
          </cell>
          <cell r="C1821" t="str">
            <v>UN</v>
          </cell>
          <cell r="D1821">
            <v>10.06</v>
          </cell>
        </row>
        <row r="1822">
          <cell r="A1822" t="str">
            <v>162403</v>
          </cell>
          <cell r="B1822" t="str">
            <v>DIAMETRO 200 MM</v>
          </cell>
          <cell r="C1822" t="str">
            <v>UN</v>
          </cell>
          <cell r="D1822">
            <v>13.75</v>
          </cell>
        </row>
        <row r="1823">
          <cell r="A1823" t="str">
            <v>162404</v>
          </cell>
          <cell r="B1823" t="str">
            <v>DIAMETRO 250 MM</v>
          </cell>
          <cell r="C1823" t="str">
            <v>UN</v>
          </cell>
          <cell r="D1823">
            <v>17.48</v>
          </cell>
        </row>
        <row r="1824">
          <cell r="A1824" t="str">
            <v>162405</v>
          </cell>
          <cell r="B1824" t="str">
            <v>DIAMETRO 300 MM</v>
          </cell>
          <cell r="C1824" t="str">
            <v>UN</v>
          </cell>
          <cell r="D1824">
            <v>22.41</v>
          </cell>
        </row>
        <row r="1825">
          <cell r="A1825" t="str">
            <v>162406</v>
          </cell>
          <cell r="B1825" t="str">
            <v>DIAMETRO 400 MM</v>
          </cell>
          <cell r="C1825" t="str">
            <v>UN</v>
          </cell>
          <cell r="D1825">
            <v>32.58</v>
          </cell>
        </row>
        <row r="1826">
          <cell r="A1826" t="str">
            <v>162407</v>
          </cell>
          <cell r="B1826" t="str">
            <v>DIAMETRO 500 MM</v>
          </cell>
          <cell r="C1826" t="str">
            <v>UN</v>
          </cell>
          <cell r="D1826">
            <v>45.11</v>
          </cell>
        </row>
        <row r="1827">
          <cell r="A1827" t="str">
            <v>162408</v>
          </cell>
          <cell r="B1827" t="str">
            <v>DIAMETRO 600 MM</v>
          </cell>
          <cell r="C1827" t="str">
            <v>UN</v>
          </cell>
          <cell r="D1827">
            <v>61.48</v>
          </cell>
        </row>
        <row r="1829">
          <cell r="A1829" t="str">
            <v>162500</v>
          </cell>
          <cell r="B1829" t="str">
            <v>MONTAGEM DE CURVAS DE FERRO FUNDIDO 45 GR TIPO JE</v>
          </cell>
        </row>
        <row r="1830">
          <cell r="A1830" t="str">
            <v>162501</v>
          </cell>
          <cell r="B1830" t="str">
            <v>DIAMETRO 100 MM</v>
          </cell>
          <cell r="C1830" t="str">
            <v>UN</v>
          </cell>
          <cell r="D1830">
            <v>8.6</v>
          </cell>
        </row>
        <row r="1831">
          <cell r="A1831" t="str">
            <v>162502</v>
          </cell>
          <cell r="B1831" t="str">
            <v>DIAMETRO 150 MM</v>
          </cell>
          <cell r="C1831" t="str">
            <v>UN</v>
          </cell>
          <cell r="D1831">
            <v>9.82</v>
          </cell>
        </row>
        <row r="1832">
          <cell r="A1832" t="str">
            <v>162503</v>
          </cell>
          <cell r="B1832" t="str">
            <v>DIAMETRO 200 MM</v>
          </cell>
          <cell r="C1832" t="str">
            <v>UN</v>
          </cell>
          <cell r="D1832">
            <v>13.22</v>
          </cell>
        </row>
        <row r="1833">
          <cell r="A1833" t="str">
            <v>162504</v>
          </cell>
          <cell r="B1833" t="str">
            <v>DIAMETRO 250 MM</v>
          </cell>
          <cell r="C1833" t="str">
            <v>UN</v>
          </cell>
          <cell r="D1833">
            <v>16.55</v>
          </cell>
        </row>
        <row r="1834">
          <cell r="A1834" t="str">
            <v>162505</v>
          </cell>
          <cell r="B1834" t="str">
            <v>DIAMETRO 300 MM</v>
          </cell>
          <cell r="C1834" t="str">
            <v>UN</v>
          </cell>
          <cell r="D1834">
            <v>20.74</v>
          </cell>
        </row>
        <row r="1835">
          <cell r="A1835" t="str">
            <v>162506</v>
          </cell>
          <cell r="B1835" t="str">
            <v>DIAMETRO 400 MM</v>
          </cell>
          <cell r="C1835" t="str">
            <v>UN</v>
          </cell>
          <cell r="D1835">
            <v>29.39</v>
          </cell>
        </row>
        <row r="1836">
          <cell r="A1836" t="str">
            <v>162507</v>
          </cell>
          <cell r="B1836" t="str">
            <v>DIAMETRO 500 MM</v>
          </cell>
          <cell r="C1836" t="str">
            <v>UN</v>
          </cell>
          <cell r="D1836">
            <v>39.67</v>
          </cell>
        </row>
        <row r="1837">
          <cell r="A1837" t="str">
            <v>162508</v>
          </cell>
          <cell r="B1837" t="str">
            <v>DIAMETRO 600 MM</v>
          </cell>
          <cell r="C1837" t="str">
            <v>UN</v>
          </cell>
          <cell r="D1837">
            <v>52.26</v>
          </cell>
        </row>
        <row r="1839">
          <cell r="A1839" t="str">
            <v>162600</v>
          </cell>
          <cell r="B1839" t="str">
            <v>MONTAGEM DE CURVA DE FERRO FUNDIDO 22 GR 30 MIN. TIPO JE</v>
          </cell>
        </row>
        <row r="1840">
          <cell r="A1840" t="str">
            <v>162601</v>
          </cell>
          <cell r="B1840" t="str">
            <v>DIAMETRO 100 MM</v>
          </cell>
          <cell r="C1840" t="str">
            <v>UN</v>
          </cell>
          <cell r="D1840">
            <v>8.52</v>
          </cell>
        </row>
        <row r="1841">
          <cell r="A1841" t="str">
            <v>162602</v>
          </cell>
          <cell r="B1841" t="str">
            <v>DIAMETRO 150 MM</v>
          </cell>
          <cell r="C1841" t="str">
            <v>UN</v>
          </cell>
          <cell r="D1841">
            <v>9.74</v>
          </cell>
        </row>
        <row r="1842">
          <cell r="A1842" t="str">
            <v>162603</v>
          </cell>
          <cell r="B1842" t="str">
            <v>DIAMETRO 200 MM</v>
          </cell>
          <cell r="C1842" t="str">
            <v>UN</v>
          </cell>
          <cell r="D1842">
            <v>12.87</v>
          </cell>
        </row>
        <row r="1843">
          <cell r="A1843" t="str">
            <v>162604</v>
          </cell>
          <cell r="B1843" t="str">
            <v>DIAMETRO 250 MM</v>
          </cell>
          <cell r="C1843" t="str">
            <v>UN</v>
          </cell>
          <cell r="D1843">
            <v>16.03</v>
          </cell>
        </row>
        <row r="1844">
          <cell r="A1844" t="str">
            <v>162605</v>
          </cell>
          <cell r="B1844" t="str">
            <v>DIAMETRO 300 MM</v>
          </cell>
          <cell r="C1844" t="str">
            <v>UN</v>
          </cell>
          <cell r="D1844">
            <v>19.89</v>
          </cell>
        </row>
        <row r="1845">
          <cell r="A1845" t="str">
            <v>162606</v>
          </cell>
          <cell r="B1845" t="str">
            <v>DIAMETRO 400 MM</v>
          </cell>
          <cell r="C1845" t="str">
            <v>UN</v>
          </cell>
          <cell r="D1845">
            <v>27.73</v>
          </cell>
        </row>
        <row r="1846">
          <cell r="A1846" t="str">
            <v>162607</v>
          </cell>
          <cell r="B1846" t="str">
            <v>DIAMETRO 500 MM</v>
          </cell>
          <cell r="C1846" t="str">
            <v>UN</v>
          </cell>
          <cell r="D1846">
            <v>36.119999999999997</v>
          </cell>
        </row>
        <row r="1847">
          <cell r="A1847" t="str">
            <v>162608</v>
          </cell>
          <cell r="B1847" t="str">
            <v>DIAMETRO 600 MM</v>
          </cell>
          <cell r="C1847" t="str">
            <v>UN</v>
          </cell>
          <cell r="D1847">
            <v>46.84</v>
          </cell>
        </row>
        <row r="1849">
          <cell r="A1849" t="str">
            <v>162700</v>
          </cell>
          <cell r="B1849" t="str">
            <v>MONTAGEM DE CURVAS DE FERRO FUNDIDO 11 GR 15 MIN. TIPO JE</v>
          </cell>
        </row>
        <row r="1850">
          <cell r="A1850" t="str">
            <v>162701</v>
          </cell>
          <cell r="B1850" t="str">
            <v>DIAMETRO 300 MM</v>
          </cell>
          <cell r="C1850" t="str">
            <v>UN</v>
          </cell>
          <cell r="D1850">
            <v>19.52</v>
          </cell>
        </row>
        <row r="1851">
          <cell r="A1851" t="str">
            <v>162702</v>
          </cell>
          <cell r="B1851" t="str">
            <v>DIAMETRO 400 MM</v>
          </cell>
          <cell r="C1851" t="str">
            <v>UN</v>
          </cell>
          <cell r="D1851">
            <v>26.78</v>
          </cell>
        </row>
        <row r="1852">
          <cell r="A1852" t="str">
            <v>162703</v>
          </cell>
          <cell r="B1852" t="str">
            <v>DIAMETRO 500 MM</v>
          </cell>
          <cell r="C1852" t="str">
            <v>UN</v>
          </cell>
          <cell r="D1852">
            <v>34.58</v>
          </cell>
        </row>
        <row r="1853">
          <cell r="A1853" t="str">
            <v>162704</v>
          </cell>
          <cell r="B1853" t="str">
            <v>DIAMETRO 600 MM</v>
          </cell>
          <cell r="C1853" t="str">
            <v>UN</v>
          </cell>
          <cell r="D1853">
            <v>44.48</v>
          </cell>
        </row>
        <row r="1855">
          <cell r="A1855" t="str">
            <v>162800</v>
          </cell>
          <cell r="B1855" t="str">
            <v>MONTAGEM DE CRUZETAS DE FERRO FUNDIDO TIPO JE</v>
          </cell>
        </row>
        <row r="1856">
          <cell r="A1856" t="str">
            <v>162801</v>
          </cell>
          <cell r="B1856" t="str">
            <v>DIAMETRO 100-50 MM</v>
          </cell>
          <cell r="C1856" t="str">
            <v>UN</v>
          </cell>
          <cell r="D1856">
            <v>16.95</v>
          </cell>
        </row>
        <row r="1857">
          <cell r="A1857" t="str">
            <v>162802</v>
          </cell>
          <cell r="B1857" t="str">
            <v>DIAMETRO 100-75 MM</v>
          </cell>
          <cell r="C1857" t="str">
            <v>UN</v>
          </cell>
          <cell r="D1857">
            <v>17.18</v>
          </cell>
        </row>
        <row r="1858">
          <cell r="A1858" t="str">
            <v>162803</v>
          </cell>
          <cell r="B1858" t="str">
            <v>DIAMETRO 100-100 MM</v>
          </cell>
          <cell r="C1858" t="str">
            <v>UN</v>
          </cell>
          <cell r="D1858">
            <v>17.309999999999999</v>
          </cell>
        </row>
        <row r="1859">
          <cell r="A1859" t="str">
            <v>162804</v>
          </cell>
          <cell r="B1859" t="str">
            <v>DIAMETRO 150-50 MM</v>
          </cell>
          <cell r="C1859" t="str">
            <v>UN</v>
          </cell>
          <cell r="D1859">
            <v>12.99</v>
          </cell>
        </row>
        <row r="1860">
          <cell r="A1860" t="str">
            <v>162805</v>
          </cell>
          <cell r="B1860" t="str">
            <v>DIAMETRO 150-75 MM</v>
          </cell>
          <cell r="C1860" t="str">
            <v>UN</v>
          </cell>
          <cell r="D1860">
            <v>20.079999999999998</v>
          </cell>
        </row>
        <row r="1861">
          <cell r="A1861" t="str">
            <v>162806</v>
          </cell>
          <cell r="B1861" t="str">
            <v>DIAMETRO 150-100 MM</v>
          </cell>
          <cell r="C1861" t="str">
            <v>UN</v>
          </cell>
          <cell r="D1861">
            <v>21.08</v>
          </cell>
        </row>
        <row r="1862">
          <cell r="A1862" t="str">
            <v>162807</v>
          </cell>
          <cell r="B1862" t="str">
            <v>DIAMETRO 150-150 MM</v>
          </cell>
          <cell r="C1862" t="str">
            <v>UN</v>
          </cell>
          <cell r="D1862">
            <v>22.31</v>
          </cell>
        </row>
        <row r="1863">
          <cell r="A1863" t="str">
            <v>162808</v>
          </cell>
          <cell r="B1863" t="str">
            <v>DIAMETRO 200-50 MM</v>
          </cell>
          <cell r="C1863" t="str">
            <v>UN</v>
          </cell>
          <cell r="D1863">
            <v>15.01</v>
          </cell>
        </row>
        <row r="1864">
          <cell r="A1864" t="str">
            <v>162809</v>
          </cell>
          <cell r="B1864" t="str">
            <v>DIAMETRO 200-75 MM</v>
          </cell>
          <cell r="C1864" t="str">
            <v>UN</v>
          </cell>
          <cell r="D1864">
            <v>16.649999999999999</v>
          </cell>
        </row>
        <row r="1865">
          <cell r="A1865" t="str">
            <v>162810</v>
          </cell>
          <cell r="B1865" t="str">
            <v>DIAMETRO 200-100 MM</v>
          </cell>
          <cell r="C1865" t="str">
            <v>UN</v>
          </cell>
          <cell r="D1865">
            <v>25.44</v>
          </cell>
        </row>
        <row r="1866">
          <cell r="A1866" t="str">
            <v>162811</v>
          </cell>
          <cell r="B1866" t="str">
            <v>DIAMETRO 200-200 MM</v>
          </cell>
          <cell r="C1866" t="str">
            <v>UN</v>
          </cell>
          <cell r="D1866">
            <v>27.53</v>
          </cell>
        </row>
        <row r="1867">
          <cell r="A1867" t="str">
            <v>162812</v>
          </cell>
          <cell r="B1867" t="str">
            <v>DIAMETRO 250-50 MM</v>
          </cell>
          <cell r="C1867" t="str">
            <v>UN</v>
          </cell>
          <cell r="D1867">
            <v>23.2</v>
          </cell>
        </row>
        <row r="1868">
          <cell r="A1868" t="str">
            <v>162813</v>
          </cell>
          <cell r="B1868" t="str">
            <v>DIAMETRO 250-75 MM</v>
          </cell>
          <cell r="C1868" t="str">
            <v>UN</v>
          </cell>
          <cell r="D1868">
            <v>30.56</v>
          </cell>
        </row>
        <row r="1869">
          <cell r="A1869" t="str">
            <v>162814</v>
          </cell>
          <cell r="B1869" t="str">
            <v>DIAMETRO 250-100 MM</v>
          </cell>
          <cell r="C1869" t="str">
            <v>UN</v>
          </cell>
          <cell r="D1869">
            <v>30.92</v>
          </cell>
        </row>
        <row r="1870">
          <cell r="A1870" t="str">
            <v>162815</v>
          </cell>
          <cell r="B1870" t="str">
            <v>DIAMETRO 250-250 MM</v>
          </cell>
          <cell r="C1870" t="str">
            <v>UN</v>
          </cell>
          <cell r="D1870">
            <v>32.47</v>
          </cell>
        </row>
        <row r="1871">
          <cell r="A1871" t="str">
            <v>162816</v>
          </cell>
          <cell r="B1871" t="str">
            <v>DIAMETRO 300-75 MM</v>
          </cell>
          <cell r="C1871" t="str">
            <v>UN</v>
          </cell>
          <cell r="D1871">
            <v>36.880000000000003</v>
          </cell>
        </row>
        <row r="1872">
          <cell r="A1872" t="str">
            <v>162817</v>
          </cell>
          <cell r="B1872" t="str">
            <v>DIAMETRO 300-100 MM</v>
          </cell>
          <cell r="C1872" t="str">
            <v>UN</v>
          </cell>
          <cell r="D1872">
            <v>37.46</v>
          </cell>
        </row>
        <row r="1873">
          <cell r="A1873" t="str">
            <v>162818</v>
          </cell>
          <cell r="B1873" t="str">
            <v>DIAMETRO 300-200 MM</v>
          </cell>
          <cell r="C1873" t="str">
            <v>UN</v>
          </cell>
          <cell r="D1873">
            <v>38.6</v>
          </cell>
        </row>
        <row r="1874">
          <cell r="A1874" t="str">
            <v>162819</v>
          </cell>
          <cell r="B1874" t="str">
            <v>DIAMETRO 300-300 MM</v>
          </cell>
          <cell r="C1874" t="str">
            <v>UN</v>
          </cell>
          <cell r="D1874">
            <v>40.75</v>
          </cell>
        </row>
        <row r="1875">
          <cell r="A1875" t="str">
            <v>162820</v>
          </cell>
          <cell r="B1875" t="str">
            <v>DIAMETRO 400-75 MM</v>
          </cell>
          <cell r="C1875" t="str">
            <v>UN</v>
          </cell>
          <cell r="D1875">
            <v>48.95</v>
          </cell>
        </row>
        <row r="1876">
          <cell r="A1876" t="str">
            <v>162821</v>
          </cell>
          <cell r="B1876" t="str">
            <v>DIAMETRO 400-100 MM</v>
          </cell>
          <cell r="C1876" t="str">
            <v>UN</v>
          </cell>
          <cell r="D1876">
            <v>49.58</v>
          </cell>
        </row>
        <row r="1877">
          <cell r="A1877" t="str">
            <v>162822</v>
          </cell>
          <cell r="B1877" t="str">
            <v>DIAMETRO 400-200 MM</v>
          </cell>
          <cell r="C1877" t="str">
            <v>UN</v>
          </cell>
          <cell r="D1877">
            <v>51.2</v>
          </cell>
        </row>
        <row r="1878">
          <cell r="A1878" t="str">
            <v>162823</v>
          </cell>
          <cell r="B1878" t="str">
            <v>DIAMETRO 400-300 MM</v>
          </cell>
          <cell r="C1878" t="str">
            <v>UN</v>
          </cell>
          <cell r="D1878">
            <v>53.57</v>
          </cell>
        </row>
        <row r="1879">
          <cell r="A1879" t="str">
            <v>162824</v>
          </cell>
          <cell r="B1879" t="str">
            <v>DIAMETRO 400-400 MM</v>
          </cell>
          <cell r="C1879" t="str">
            <v>UN</v>
          </cell>
          <cell r="D1879">
            <v>56.37</v>
          </cell>
        </row>
        <row r="1880">
          <cell r="A1880" t="str">
            <v>162825</v>
          </cell>
          <cell r="B1880" t="str">
            <v>DIAMETRO 500-75 MM</v>
          </cell>
          <cell r="C1880" t="str">
            <v>UN</v>
          </cell>
          <cell r="D1880">
            <v>58.38</v>
          </cell>
        </row>
        <row r="1881">
          <cell r="A1881" t="str">
            <v>162826</v>
          </cell>
          <cell r="B1881" t="str">
            <v>DIAMETRO 500-100 MM</v>
          </cell>
          <cell r="C1881" t="str">
            <v>UN</v>
          </cell>
          <cell r="D1881">
            <v>61.71</v>
          </cell>
        </row>
        <row r="1882">
          <cell r="A1882" t="str">
            <v>162827</v>
          </cell>
          <cell r="B1882" t="str">
            <v>DIAMETRO 500-200 MM</v>
          </cell>
          <cell r="C1882" t="str">
            <v>UN</v>
          </cell>
          <cell r="D1882">
            <v>63.82</v>
          </cell>
        </row>
        <row r="1883">
          <cell r="A1883" t="str">
            <v>162828</v>
          </cell>
          <cell r="B1883" t="str">
            <v>DIAMETRO 500-300 MM</v>
          </cell>
          <cell r="C1883" t="str">
            <v>UN</v>
          </cell>
          <cell r="D1883">
            <v>67.069999999999993</v>
          </cell>
        </row>
        <row r="1884">
          <cell r="A1884" t="str">
            <v>162829</v>
          </cell>
          <cell r="B1884" t="str">
            <v>DIAMETRO 500-500 MM</v>
          </cell>
          <cell r="C1884" t="str">
            <v>UN</v>
          </cell>
          <cell r="D1884">
            <v>74.22</v>
          </cell>
        </row>
        <row r="1885">
          <cell r="A1885" t="str">
            <v>162830</v>
          </cell>
          <cell r="B1885" t="str">
            <v>DIAMETRO 600-75 MM</v>
          </cell>
          <cell r="C1885" t="str">
            <v>UN</v>
          </cell>
          <cell r="D1885">
            <v>75.06</v>
          </cell>
        </row>
        <row r="1886">
          <cell r="A1886" t="str">
            <v>162831</v>
          </cell>
          <cell r="B1886" t="str">
            <v>DIAMETRO 600-100 MM</v>
          </cell>
          <cell r="C1886" t="str">
            <v>UN</v>
          </cell>
          <cell r="D1886">
            <v>76.599999999999994</v>
          </cell>
        </row>
        <row r="1887">
          <cell r="A1887" t="str">
            <v>162832</v>
          </cell>
          <cell r="B1887" t="str">
            <v>DIAMETRO 600-200 MM</v>
          </cell>
          <cell r="C1887" t="str">
            <v>UN</v>
          </cell>
          <cell r="D1887">
            <v>79.72</v>
          </cell>
        </row>
        <row r="1888">
          <cell r="A1888" t="str">
            <v>162833</v>
          </cell>
          <cell r="B1888" t="str">
            <v>DIAMETRO 600-300 MM</v>
          </cell>
          <cell r="C1888" t="str">
            <v>UN</v>
          </cell>
          <cell r="D1888">
            <v>83.6</v>
          </cell>
        </row>
        <row r="1889">
          <cell r="A1889" t="str">
            <v>162834</v>
          </cell>
          <cell r="B1889" t="str">
            <v>DIAMETRO 600-400 MM</v>
          </cell>
          <cell r="C1889" t="str">
            <v>UN</v>
          </cell>
          <cell r="D1889">
            <v>87.58</v>
          </cell>
        </row>
        <row r="1890">
          <cell r="A1890" t="str">
            <v>162835</v>
          </cell>
          <cell r="B1890" t="str">
            <v>DIAMETRO 600-600 MM</v>
          </cell>
          <cell r="C1890" t="str">
            <v>UN</v>
          </cell>
          <cell r="D1890">
            <v>98.48</v>
          </cell>
        </row>
        <row r="1892">
          <cell r="A1892" t="str">
            <v>162900</v>
          </cell>
          <cell r="B1892" t="str">
            <v>MONTAGEM DE TES DE FERRO FUNDIDO TIPO JE</v>
          </cell>
        </row>
        <row r="1893">
          <cell r="A1893" t="str">
            <v>162901</v>
          </cell>
          <cell r="B1893" t="str">
            <v>DIAMETRO 100-50 MM</v>
          </cell>
          <cell r="C1893" t="str">
            <v>UN</v>
          </cell>
          <cell r="D1893">
            <v>11.01</v>
          </cell>
        </row>
        <row r="1894">
          <cell r="A1894" t="str">
            <v>162902</v>
          </cell>
          <cell r="B1894" t="str">
            <v>DIAMETRO 100-75 MM</v>
          </cell>
          <cell r="C1894" t="str">
            <v>UN</v>
          </cell>
          <cell r="D1894">
            <v>11.09</v>
          </cell>
        </row>
        <row r="1895">
          <cell r="A1895" t="str">
            <v>162903</v>
          </cell>
          <cell r="B1895" t="str">
            <v>DIAMETRO 100-100 MM</v>
          </cell>
          <cell r="C1895" t="str">
            <v>UN</v>
          </cell>
          <cell r="D1895">
            <v>12.98</v>
          </cell>
        </row>
        <row r="1896">
          <cell r="A1896" t="str">
            <v>162904</v>
          </cell>
          <cell r="B1896" t="str">
            <v>DIAMETRO 150-50 MM</v>
          </cell>
          <cell r="C1896" t="str">
            <v>UN</v>
          </cell>
          <cell r="D1896">
            <v>12.22</v>
          </cell>
        </row>
        <row r="1897">
          <cell r="A1897" t="str">
            <v>162905</v>
          </cell>
          <cell r="B1897" t="str">
            <v>DIAMETRO 150-75 MM</v>
          </cell>
          <cell r="C1897" t="str">
            <v>UN</v>
          </cell>
          <cell r="D1897">
            <v>12.3</v>
          </cell>
        </row>
        <row r="1898">
          <cell r="A1898" t="str">
            <v>162906</v>
          </cell>
          <cell r="B1898" t="str">
            <v>DIAMETRO 150-100 MM</v>
          </cell>
          <cell r="C1898" t="str">
            <v>UN</v>
          </cell>
          <cell r="D1898">
            <v>14.27</v>
          </cell>
        </row>
        <row r="1899">
          <cell r="A1899" t="str">
            <v>162907</v>
          </cell>
          <cell r="B1899" t="str">
            <v>DIAMETRO 150-150 MM</v>
          </cell>
          <cell r="C1899" t="str">
            <v>UN</v>
          </cell>
          <cell r="D1899">
            <v>14.88</v>
          </cell>
        </row>
        <row r="1900">
          <cell r="A1900" t="str">
            <v>162908</v>
          </cell>
          <cell r="B1900" t="str">
            <v>DIAMETRO 200-50 MM</v>
          </cell>
          <cell r="C1900" t="str">
            <v>UN</v>
          </cell>
          <cell r="D1900">
            <v>15.38</v>
          </cell>
        </row>
        <row r="1901">
          <cell r="A1901" t="str">
            <v>162909</v>
          </cell>
          <cell r="B1901" t="str">
            <v>DIAMETRO 200-75 MM</v>
          </cell>
          <cell r="C1901" t="str">
            <v>UN</v>
          </cell>
          <cell r="D1901">
            <v>15.64</v>
          </cell>
        </row>
        <row r="1902">
          <cell r="A1902" t="str">
            <v>162910</v>
          </cell>
          <cell r="B1902" t="str">
            <v>DIAMETRO 200-100 MM</v>
          </cell>
          <cell r="C1902" t="str">
            <v>UN</v>
          </cell>
          <cell r="D1902">
            <v>17.510000000000002</v>
          </cell>
        </row>
        <row r="1903">
          <cell r="A1903" t="str">
            <v>162911</v>
          </cell>
          <cell r="B1903" t="str">
            <v>DIAMETRO 200-200 MM</v>
          </cell>
          <cell r="C1903" t="str">
            <v>UN</v>
          </cell>
          <cell r="D1903">
            <v>20.059999999999999</v>
          </cell>
        </row>
        <row r="1904">
          <cell r="A1904" t="str">
            <v>162912</v>
          </cell>
          <cell r="B1904" t="str">
            <v>DIAMETRO 250-50 MM</v>
          </cell>
          <cell r="C1904" t="str">
            <v>UN</v>
          </cell>
          <cell r="D1904">
            <v>18.350000000000001</v>
          </cell>
        </row>
        <row r="1905">
          <cell r="A1905" t="str">
            <v>162913</v>
          </cell>
          <cell r="B1905" t="str">
            <v>DIAMETRO 250-75 MM</v>
          </cell>
          <cell r="C1905" t="str">
            <v>UN</v>
          </cell>
          <cell r="D1905">
            <v>18.62</v>
          </cell>
        </row>
        <row r="1906">
          <cell r="A1906" t="str">
            <v>162914</v>
          </cell>
          <cell r="B1906" t="str">
            <v>DIAMETRO 250-100 MM</v>
          </cell>
          <cell r="C1906" t="str">
            <v>UN</v>
          </cell>
          <cell r="D1906">
            <v>20.68</v>
          </cell>
        </row>
        <row r="1907">
          <cell r="A1907" t="str">
            <v>162915</v>
          </cell>
          <cell r="B1907" t="str">
            <v>DIAMETRO 250-250 MM</v>
          </cell>
          <cell r="C1907" t="str">
            <v>UN</v>
          </cell>
          <cell r="D1907">
            <v>24.96</v>
          </cell>
        </row>
        <row r="1908">
          <cell r="A1908" t="str">
            <v>162916</v>
          </cell>
          <cell r="B1908" t="str">
            <v>DIAMETRO 300-75 MM</v>
          </cell>
          <cell r="C1908" t="str">
            <v>UN</v>
          </cell>
          <cell r="D1908">
            <v>22.29</v>
          </cell>
        </row>
        <row r="1909">
          <cell r="A1909" t="str">
            <v>162917</v>
          </cell>
          <cell r="B1909" t="str">
            <v>DIAMETRO 300-100 MM</v>
          </cell>
          <cell r="C1909" t="str">
            <v>UN</v>
          </cell>
          <cell r="D1909">
            <v>24.61</v>
          </cell>
        </row>
        <row r="1910">
          <cell r="A1910" t="str">
            <v>162918</v>
          </cell>
          <cell r="B1910" t="str">
            <v>DIAMETRO 300-150 MM</v>
          </cell>
          <cell r="C1910" t="str">
            <v>UN</v>
          </cell>
          <cell r="D1910">
            <v>25.4</v>
          </cell>
        </row>
        <row r="1911">
          <cell r="A1911" t="str">
            <v>162919</v>
          </cell>
          <cell r="B1911" t="str">
            <v>DIAMETRO 300-200 MM</v>
          </cell>
          <cell r="C1911" t="str">
            <v>UN</v>
          </cell>
          <cell r="D1911">
            <v>27.31</v>
          </cell>
        </row>
        <row r="1912">
          <cell r="A1912" t="str">
            <v>162920</v>
          </cell>
          <cell r="B1912" t="str">
            <v>DIAMETRO 300-250 MM</v>
          </cell>
          <cell r="C1912" t="str">
            <v>UN</v>
          </cell>
          <cell r="D1912">
            <v>29.14</v>
          </cell>
        </row>
        <row r="1913">
          <cell r="A1913" t="str">
            <v>162921</v>
          </cell>
          <cell r="B1913" t="str">
            <v>DIAMETRO 300-300 MM</v>
          </cell>
          <cell r="C1913" t="str">
            <v>UN</v>
          </cell>
          <cell r="D1913">
            <v>31.52</v>
          </cell>
        </row>
        <row r="1914">
          <cell r="A1914" t="str">
            <v>162922</v>
          </cell>
          <cell r="B1914" t="str">
            <v>DIAMETRO 400-75 MM</v>
          </cell>
          <cell r="C1914" t="str">
            <v>UN</v>
          </cell>
          <cell r="D1914">
            <v>29.88</v>
          </cell>
        </row>
        <row r="1915">
          <cell r="A1915" t="str">
            <v>162923</v>
          </cell>
          <cell r="B1915" t="str">
            <v>DIAMETRO 400-100 MM</v>
          </cell>
          <cell r="C1915" t="str">
            <v>UN</v>
          </cell>
          <cell r="D1915">
            <v>32.11</v>
          </cell>
        </row>
        <row r="1916">
          <cell r="A1916" t="str">
            <v>162924</v>
          </cell>
          <cell r="B1916" t="str">
            <v>DIAMETRO 400-200 MM</v>
          </cell>
          <cell r="C1916" t="str">
            <v>UN</v>
          </cell>
          <cell r="D1916">
            <v>35.49</v>
          </cell>
        </row>
        <row r="1917">
          <cell r="A1917" t="str">
            <v>162925</v>
          </cell>
          <cell r="B1917" t="str">
            <v>DIAMETRO 400-300 MM</v>
          </cell>
          <cell r="C1917" t="str">
            <v>UN</v>
          </cell>
          <cell r="D1917">
            <v>39.880000000000003</v>
          </cell>
        </row>
        <row r="1918">
          <cell r="A1918" t="str">
            <v>162926</v>
          </cell>
          <cell r="B1918" t="str">
            <v>DIAMETRO 400-400 MM</v>
          </cell>
          <cell r="C1918" t="str">
            <v>UN</v>
          </cell>
          <cell r="D1918">
            <v>44.24</v>
          </cell>
        </row>
        <row r="1919">
          <cell r="A1919" t="str">
            <v>162927</v>
          </cell>
          <cell r="B1919" t="str">
            <v>DIAMETRO 500-100 MM</v>
          </cell>
          <cell r="C1919" t="str">
            <v>UN</v>
          </cell>
          <cell r="D1919">
            <v>40.07</v>
          </cell>
        </row>
        <row r="1920">
          <cell r="A1920" t="str">
            <v>162928</v>
          </cell>
          <cell r="B1920" t="str">
            <v>DIAMETRO 500-200 MM</v>
          </cell>
          <cell r="C1920" t="str">
            <v>UN</v>
          </cell>
          <cell r="D1920">
            <v>44.23</v>
          </cell>
        </row>
        <row r="1921">
          <cell r="A1921" t="str">
            <v>162929</v>
          </cell>
          <cell r="B1921" t="str">
            <v>DIAMETRO 500-300 MM</v>
          </cell>
          <cell r="C1921" t="str">
            <v>UN</v>
          </cell>
          <cell r="D1921">
            <v>49.21</v>
          </cell>
        </row>
        <row r="1922">
          <cell r="A1922" t="str">
            <v>162930</v>
          </cell>
          <cell r="B1922" t="str">
            <v>DIAMETRO 500-500 MM</v>
          </cell>
          <cell r="C1922" t="str">
            <v>UN</v>
          </cell>
          <cell r="D1922">
            <v>59.09</v>
          </cell>
        </row>
        <row r="1923">
          <cell r="A1923" t="str">
            <v>162931</v>
          </cell>
          <cell r="B1923" t="str">
            <v>DIAMETRO 600-100 MM</v>
          </cell>
          <cell r="C1923" t="str">
            <v>UN</v>
          </cell>
          <cell r="D1923">
            <v>50.19</v>
          </cell>
        </row>
        <row r="1924">
          <cell r="A1924" t="str">
            <v>162932</v>
          </cell>
          <cell r="B1924" t="str">
            <v>DIAMETRO 600-200 MM</v>
          </cell>
          <cell r="C1924" t="str">
            <v>UN</v>
          </cell>
          <cell r="D1924">
            <v>55.07</v>
          </cell>
        </row>
        <row r="1925">
          <cell r="A1925" t="str">
            <v>162933</v>
          </cell>
          <cell r="B1925" t="str">
            <v>DIAMETRO 600-300 MM</v>
          </cell>
          <cell r="C1925" t="str">
            <v>UN</v>
          </cell>
          <cell r="D1925">
            <v>64.510000000000005</v>
          </cell>
        </row>
        <row r="1926">
          <cell r="A1926" t="str">
            <v>162934</v>
          </cell>
          <cell r="B1926" t="str">
            <v>DIAMETRO 600-400 MM</v>
          </cell>
          <cell r="C1926" t="str">
            <v>UN</v>
          </cell>
          <cell r="D1926">
            <v>73.599999999999994</v>
          </cell>
        </row>
        <row r="1927">
          <cell r="A1927" t="str">
            <v>162935</v>
          </cell>
          <cell r="B1927" t="str">
            <v>DIAMETRO 600- 600 MM</v>
          </cell>
          <cell r="C1927" t="str">
            <v>UN</v>
          </cell>
          <cell r="D1927">
            <v>93.72</v>
          </cell>
        </row>
        <row r="1929">
          <cell r="A1929" t="str">
            <v>163000</v>
          </cell>
          <cell r="B1929" t="str">
            <v>MONTAGEM DE TES DE FERRO FUNDIDO TIPO JE/F</v>
          </cell>
        </row>
        <row r="1930">
          <cell r="A1930" t="str">
            <v>163001</v>
          </cell>
          <cell r="B1930" t="str">
            <v>DIAMETRO 100-50 MM</v>
          </cell>
          <cell r="C1930" t="str">
            <v>UN</v>
          </cell>
          <cell r="D1930">
            <v>11.55</v>
          </cell>
        </row>
        <row r="1931">
          <cell r="A1931" t="str">
            <v>163002</v>
          </cell>
          <cell r="B1931" t="str">
            <v>DIAMETRO 150-50 MM</v>
          </cell>
          <cell r="C1931" t="str">
            <v>UN</v>
          </cell>
          <cell r="D1931">
            <v>12.42</v>
          </cell>
        </row>
        <row r="1932">
          <cell r="A1932" t="str">
            <v>163003</v>
          </cell>
          <cell r="B1932" t="str">
            <v>DIAMETRO 150-75 MM</v>
          </cell>
          <cell r="C1932" t="str">
            <v>UN</v>
          </cell>
          <cell r="D1932">
            <v>12.56</v>
          </cell>
        </row>
        <row r="1933">
          <cell r="A1933" t="str">
            <v>163004</v>
          </cell>
          <cell r="B1933" t="str">
            <v>DIAMETRO 200-50 MM</v>
          </cell>
          <cell r="C1933" t="str">
            <v>UN</v>
          </cell>
          <cell r="D1933">
            <v>15.74</v>
          </cell>
        </row>
        <row r="1934">
          <cell r="A1934" t="str">
            <v>163005</v>
          </cell>
          <cell r="B1934" t="str">
            <v>DIAMETRO 200-75 MM</v>
          </cell>
          <cell r="C1934" t="str">
            <v>UN</v>
          </cell>
          <cell r="D1934">
            <v>15.99</v>
          </cell>
        </row>
        <row r="1935">
          <cell r="A1935" t="str">
            <v>163006</v>
          </cell>
          <cell r="B1935" t="str">
            <v>DIAMETRO 200-100 MM</v>
          </cell>
          <cell r="C1935" t="str">
            <v>UN</v>
          </cell>
          <cell r="D1935">
            <v>18.579999999999998</v>
          </cell>
        </row>
        <row r="1936">
          <cell r="A1936" t="str">
            <v>163007</v>
          </cell>
          <cell r="B1936" t="str">
            <v>DIAMETRO 250-50 MM</v>
          </cell>
          <cell r="C1936" t="str">
            <v>UN</v>
          </cell>
          <cell r="D1936">
            <v>18.63</v>
          </cell>
        </row>
        <row r="1937">
          <cell r="A1937" t="str">
            <v>163008</v>
          </cell>
          <cell r="B1937" t="str">
            <v>DIAMETRO 250-75 MM</v>
          </cell>
          <cell r="C1937" t="str">
            <v>UN</v>
          </cell>
          <cell r="D1937">
            <v>18.89</v>
          </cell>
        </row>
        <row r="1938">
          <cell r="A1938" t="str">
            <v>163009</v>
          </cell>
          <cell r="B1938" t="str">
            <v>DIAMETRO 250-100 MM</v>
          </cell>
          <cell r="C1938" t="str">
            <v>UN</v>
          </cell>
          <cell r="D1938">
            <v>21.75</v>
          </cell>
        </row>
        <row r="1939">
          <cell r="A1939" t="str">
            <v>163010</v>
          </cell>
          <cell r="B1939" t="str">
            <v>DIAMETRO 300-100 MM</v>
          </cell>
          <cell r="C1939" t="str">
            <v>UN</v>
          </cell>
          <cell r="D1939">
            <v>25.64</v>
          </cell>
        </row>
        <row r="1940">
          <cell r="A1940" t="str">
            <v>163011</v>
          </cell>
          <cell r="B1940" t="str">
            <v>DIAMETRO 300-200 MM</v>
          </cell>
          <cell r="C1940" t="str">
            <v>UN</v>
          </cell>
          <cell r="D1940">
            <v>30.51</v>
          </cell>
        </row>
        <row r="1941">
          <cell r="A1941" t="str">
            <v>163012</v>
          </cell>
          <cell r="B1941" t="str">
            <v>DIAMETRO 300-300 MM</v>
          </cell>
          <cell r="C1941" t="str">
            <v>UN</v>
          </cell>
          <cell r="D1941">
            <v>38.090000000000003</v>
          </cell>
        </row>
        <row r="1942">
          <cell r="A1942" t="str">
            <v>163013</v>
          </cell>
          <cell r="B1942" t="str">
            <v>DIAMETRO 400-100 MM</v>
          </cell>
          <cell r="C1942" t="str">
            <v>UN</v>
          </cell>
          <cell r="D1942">
            <v>33.479999999999997</v>
          </cell>
        </row>
        <row r="1943">
          <cell r="A1943" t="str">
            <v>163014</v>
          </cell>
          <cell r="B1943" t="str">
            <v>DIAMETRO 400-200 MM</v>
          </cell>
          <cell r="C1943" t="str">
            <v>UN</v>
          </cell>
          <cell r="D1943">
            <v>38.83</v>
          </cell>
        </row>
        <row r="1944">
          <cell r="A1944" t="str">
            <v>163015</v>
          </cell>
          <cell r="B1944" t="str">
            <v>DIAMETRO 400-300 MM</v>
          </cell>
          <cell r="C1944" t="str">
            <v>UN</v>
          </cell>
          <cell r="D1944">
            <v>46.66</v>
          </cell>
        </row>
        <row r="1945">
          <cell r="A1945" t="str">
            <v>163016</v>
          </cell>
          <cell r="B1945" t="str">
            <v>DIAMETRO 400-400 MM</v>
          </cell>
          <cell r="C1945" t="str">
            <v>UN</v>
          </cell>
          <cell r="D1945">
            <v>53.99</v>
          </cell>
        </row>
        <row r="1946">
          <cell r="A1946" t="str">
            <v>163017</v>
          </cell>
          <cell r="B1946" t="str">
            <v>DIAMETRO 500-100 MM</v>
          </cell>
          <cell r="C1946" t="str">
            <v>UN</v>
          </cell>
          <cell r="D1946">
            <v>41.73</v>
          </cell>
        </row>
        <row r="1947">
          <cell r="A1947" t="str">
            <v>163018</v>
          </cell>
          <cell r="B1947" t="str">
            <v>DIAMETRO 500-200 MM</v>
          </cell>
          <cell r="C1947" t="str">
            <v>UN</v>
          </cell>
          <cell r="D1947">
            <v>47.64</v>
          </cell>
        </row>
        <row r="1948">
          <cell r="A1948" t="str">
            <v>163019</v>
          </cell>
          <cell r="B1948" t="str">
            <v>DIAMETRO 500-300 MM</v>
          </cell>
          <cell r="C1948" t="str">
            <v>UN</v>
          </cell>
          <cell r="D1948">
            <v>56.13</v>
          </cell>
        </row>
        <row r="1949">
          <cell r="A1949" t="str">
            <v>163020</v>
          </cell>
          <cell r="B1949" t="str">
            <v>DIAMETRO 500-500 MM</v>
          </cell>
          <cell r="C1949" t="str">
            <v>UN</v>
          </cell>
          <cell r="D1949">
            <v>73.260000000000005</v>
          </cell>
        </row>
        <row r="1950">
          <cell r="A1950" t="str">
            <v>163021</v>
          </cell>
          <cell r="B1950" t="str">
            <v>DIAMETRO 600-100 MM</v>
          </cell>
          <cell r="C1950" t="str">
            <v>UN</v>
          </cell>
          <cell r="D1950">
            <v>51.04</v>
          </cell>
        </row>
        <row r="1951">
          <cell r="A1951" t="str">
            <v>163022</v>
          </cell>
          <cell r="B1951" t="str">
            <v>DIAMETRO 600-200 MM</v>
          </cell>
          <cell r="C1951" t="str">
            <v>UN</v>
          </cell>
          <cell r="D1951">
            <v>58.49</v>
          </cell>
        </row>
        <row r="1952">
          <cell r="A1952" t="str">
            <v>163023</v>
          </cell>
          <cell r="B1952" t="str">
            <v>DIAMETRO 600-400 MM</v>
          </cell>
          <cell r="C1952" t="str">
            <v>UN</v>
          </cell>
          <cell r="D1952">
            <v>77.040000000000006</v>
          </cell>
        </row>
        <row r="1953">
          <cell r="A1953" t="str">
            <v>163024</v>
          </cell>
          <cell r="B1953" t="str">
            <v>DIAMETRO 600-600 MM</v>
          </cell>
          <cell r="C1953" t="str">
            <v>UN</v>
          </cell>
          <cell r="D1953">
            <v>98.92</v>
          </cell>
        </row>
        <row r="1955">
          <cell r="A1955" t="str">
            <v>163100</v>
          </cell>
          <cell r="B1955" t="str">
            <v>MONTAGEM DE REDUCOES DE FERRO FUNDIDO TIPO JE (P/B)</v>
          </cell>
        </row>
        <row r="1956">
          <cell r="A1956" t="str">
            <v>163101</v>
          </cell>
          <cell r="B1956" t="str">
            <v>DIAMETRO 100-50 MM</v>
          </cell>
          <cell r="C1956" t="str">
            <v>UN</v>
          </cell>
          <cell r="D1956">
            <v>5.98</v>
          </cell>
        </row>
        <row r="1957">
          <cell r="A1957" t="str">
            <v>163102</v>
          </cell>
          <cell r="B1957" t="str">
            <v>DIAMETRO 100-75 MM</v>
          </cell>
          <cell r="C1957" t="str">
            <v>UN</v>
          </cell>
          <cell r="D1957">
            <v>5.99</v>
          </cell>
        </row>
        <row r="1958">
          <cell r="A1958" t="str">
            <v>163103</v>
          </cell>
          <cell r="B1958" t="str">
            <v>DIAMETRO 150-75 MM</v>
          </cell>
          <cell r="C1958" t="str">
            <v>UN</v>
          </cell>
          <cell r="D1958">
            <v>6.63</v>
          </cell>
        </row>
        <row r="1959">
          <cell r="A1959" t="str">
            <v>163104</v>
          </cell>
          <cell r="B1959" t="str">
            <v>DIAMETRO 150-100 MM</v>
          </cell>
          <cell r="C1959" t="str">
            <v>UN</v>
          </cell>
          <cell r="D1959">
            <v>8.4499999999999993</v>
          </cell>
        </row>
        <row r="1960">
          <cell r="A1960" t="str">
            <v>163105</v>
          </cell>
          <cell r="B1960" t="str">
            <v>DIAMETRO 200-100 MM</v>
          </cell>
          <cell r="C1960" t="str">
            <v>UN</v>
          </cell>
          <cell r="D1960">
            <v>10.29</v>
          </cell>
        </row>
        <row r="1961">
          <cell r="A1961" t="str">
            <v>163106</v>
          </cell>
          <cell r="B1961" t="str">
            <v>DIAMETRO 200-150 MM</v>
          </cell>
          <cell r="C1961" t="str">
            <v>UN</v>
          </cell>
          <cell r="D1961">
            <v>11.07</v>
          </cell>
        </row>
        <row r="1962">
          <cell r="A1962" t="str">
            <v>163107</v>
          </cell>
          <cell r="B1962" t="str">
            <v>DIAMETRO 250-150 MM</v>
          </cell>
          <cell r="C1962" t="str">
            <v>UN</v>
          </cell>
          <cell r="D1962">
            <v>14.4</v>
          </cell>
        </row>
        <row r="1963">
          <cell r="A1963" t="str">
            <v>163108</v>
          </cell>
          <cell r="B1963" t="str">
            <v>DIAMETRO 250-200 MM</v>
          </cell>
          <cell r="C1963" t="str">
            <v>UN</v>
          </cell>
          <cell r="D1963">
            <v>15.28</v>
          </cell>
        </row>
        <row r="1964">
          <cell r="A1964" t="str">
            <v>163109</v>
          </cell>
          <cell r="B1964" t="str">
            <v>DIAMETRO 300-150 MM</v>
          </cell>
          <cell r="C1964" t="str">
            <v>UN</v>
          </cell>
          <cell r="D1964">
            <v>16.739999999999998</v>
          </cell>
        </row>
        <row r="1965">
          <cell r="A1965" t="str">
            <v>163110</v>
          </cell>
          <cell r="B1965" t="str">
            <v>DIAMETRO 300-200 MM</v>
          </cell>
          <cell r="C1965" t="str">
            <v>UN</v>
          </cell>
          <cell r="D1965">
            <v>17.64</v>
          </cell>
        </row>
        <row r="1966">
          <cell r="A1966" t="str">
            <v>163111</v>
          </cell>
          <cell r="B1966" t="str">
            <v>DIAMETRO 300-250 MM</v>
          </cell>
          <cell r="C1966" t="str">
            <v>UN</v>
          </cell>
          <cell r="D1966">
            <v>19.52</v>
          </cell>
        </row>
        <row r="1967">
          <cell r="A1967" t="str">
            <v>163112</v>
          </cell>
          <cell r="B1967" t="str">
            <v>DIAMETRO 350-200 MM</v>
          </cell>
          <cell r="C1967" t="str">
            <v>UN</v>
          </cell>
          <cell r="D1967">
            <v>21.08</v>
          </cell>
        </row>
        <row r="1968">
          <cell r="A1968" t="str">
            <v>163113</v>
          </cell>
          <cell r="B1968" t="str">
            <v>DIAMETRO 350-250 MM</v>
          </cell>
          <cell r="C1968" t="str">
            <v>UN</v>
          </cell>
          <cell r="D1968">
            <v>22.92</v>
          </cell>
        </row>
        <row r="1969">
          <cell r="A1969" t="str">
            <v>163114</v>
          </cell>
          <cell r="B1969" t="str">
            <v>DIAMETRO 350-300 MM</v>
          </cell>
          <cell r="C1969" t="str">
            <v>UN</v>
          </cell>
          <cell r="D1969">
            <v>25.4</v>
          </cell>
        </row>
        <row r="1970">
          <cell r="A1970" t="str">
            <v>163115</v>
          </cell>
          <cell r="B1970" t="str">
            <v>DIAMETRO 400-250 MM</v>
          </cell>
          <cell r="C1970" t="str">
            <v>UN</v>
          </cell>
          <cell r="D1970">
            <v>24.17</v>
          </cell>
        </row>
        <row r="1971">
          <cell r="A1971" t="str">
            <v>163116</v>
          </cell>
          <cell r="B1971" t="str">
            <v>DIAMETRO 400- 300 MM</v>
          </cell>
          <cell r="C1971" t="str">
            <v>UN</v>
          </cell>
          <cell r="D1971">
            <v>26.62</v>
          </cell>
        </row>
        <row r="1972">
          <cell r="A1972" t="str">
            <v>163117</v>
          </cell>
          <cell r="B1972" t="str">
            <v>DIAMETRO 400- 350 MM</v>
          </cell>
          <cell r="C1972" t="str">
            <v>UN</v>
          </cell>
          <cell r="D1972">
            <v>28.28</v>
          </cell>
        </row>
        <row r="1973">
          <cell r="A1973" t="str">
            <v>163118</v>
          </cell>
          <cell r="B1973" t="str">
            <v>DIAMETRO 500- 350 MM</v>
          </cell>
          <cell r="C1973" t="str">
            <v>UN</v>
          </cell>
          <cell r="D1973">
            <v>33.31</v>
          </cell>
        </row>
        <row r="1974">
          <cell r="A1974" t="str">
            <v>163119</v>
          </cell>
          <cell r="B1974" t="str">
            <v>DIAMETRO 500- 400 MM</v>
          </cell>
          <cell r="C1974" t="str">
            <v>UN</v>
          </cell>
          <cell r="D1974">
            <v>34.799999999999997</v>
          </cell>
        </row>
        <row r="1975">
          <cell r="A1975" t="str">
            <v>163120</v>
          </cell>
          <cell r="B1975" t="str">
            <v>DIAMETRO 600- 400 MM</v>
          </cell>
          <cell r="C1975" t="str">
            <v>UN</v>
          </cell>
          <cell r="D1975">
            <v>43.03</v>
          </cell>
        </row>
        <row r="1976">
          <cell r="A1976" t="str">
            <v>163121</v>
          </cell>
          <cell r="B1976" t="str">
            <v>DIAMETRO 600- 500 MM</v>
          </cell>
          <cell r="C1976" t="str">
            <v>UN</v>
          </cell>
          <cell r="D1976">
            <v>46.11</v>
          </cell>
        </row>
        <row r="1978">
          <cell r="A1978" t="str">
            <v>163200</v>
          </cell>
          <cell r="B1978" t="str">
            <v>MONTAGEM DE LUVAS FOFO TIPO JE</v>
          </cell>
        </row>
        <row r="1979">
          <cell r="A1979" t="str">
            <v>163201</v>
          </cell>
          <cell r="B1979" t="str">
            <v>DIAMETRO 100 MM</v>
          </cell>
          <cell r="C1979" t="str">
            <v>UN</v>
          </cell>
          <cell r="D1979">
            <v>8.6</v>
          </cell>
        </row>
        <row r="1980">
          <cell r="A1980" t="str">
            <v>163202</v>
          </cell>
          <cell r="B1980" t="str">
            <v>DIAMETRO 150 MM</v>
          </cell>
          <cell r="C1980" t="str">
            <v>UN</v>
          </cell>
          <cell r="D1980">
            <v>9.74</v>
          </cell>
        </row>
        <row r="1981">
          <cell r="A1981" t="str">
            <v>163203</v>
          </cell>
          <cell r="B1981" t="str">
            <v>DIAMETRO 200 MM</v>
          </cell>
          <cell r="C1981" t="str">
            <v>UN</v>
          </cell>
          <cell r="D1981">
            <v>12.99</v>
          </cell>
        </row>
        <row r="1982">
          <cell r="A1982" t="str">
            <v>163204</v>
          </cell>
          <cell r="B1982" t="str">
            <v>DIAMETRO 250 MM</v>
          </cell>
          <cell r="C1982" t="str">
            <v>UN</v>
          </cell>
          <cell r="D1982">
            <v>16.100000000000001</v>
          </cell>
        </row>
        <row r="1983">
          <cell r="A1983" t="str">
            <v>163205</v>
          </cell>
          <cell r="B1983" t="str">
            <v>DIAMETRO 300 MM</v>
          </cell>
          <cell r="C1983" t="str">
            <v>UN</v>
          </cell>
          <cell r="D1983">
            <v>19.8</v>
          </cell>
        </row>
        <row r="1984">
          <cell r="A1984" t="str">
            <v>163206</v>
          </cell>
          <cell r="B1984" t="str">
            <v>DIAMETRO 400 MM</v>
          </cell>
          <cell r="C1984" t="str">
            <v>UN</v>
          </cell>
          <cell r="D1984">
            <v>27.1</v>
          </cell>
        </row>
        <row r="1985">
          <cell r="A1985" t="str">
            <v>163207</v>
          </cell>
          <cell r="B1985" t="str">
            <v>DIAMETRO 500 MM</v>
          </cell>
          <cell r="C1985" t="str">
            <v>UN</v>
          </cell>
          <cell r="D1985">
            <v>34.799999999999997</v>
          </cell>
        </row>
        <row r="1986">
          <cell r="A1986" t="str">
            <v>163208</v>
          </cell>
          <cell r="B1986" t="str">
            <v>DIAMETRO 600 MM</v>
          </cell>
          <cell r="C1986" t="str">
            <v>UN</v>
          </cell>
          <cell r="D1986">
            <v>44.48</v>
          </cell>
        </row>
        <row r="1988">
          <cell r="A1988" t="str">
            <v>163300</v>
          </cell>
          <cell r="B1988" t="str">
            <v>MONTAGEM DE CAP DE FERRO FUNDIDO TIPO JE</v>
          </cell>
        </row>
        <row r="1989">
          <cell r="A1989" t="str">
            <v>163301</v>
          </cell>
          <cell r="B1989" t="str">
            <v>DIAMETRO 100 MM</v>
          </cell>
          <cell r="C1989" t="str">
            <v>UN</v>
          </cell>
          <cell r="D1989">
            <v>4.21</v>
          </cell>
        </row>
        <row r="1990">
          <cell r="A1990" t="str">
            <v>163302</v>
          </cell>
          <cell r="B1990" t="str">
            <v>DIAMETRO 150 MM</v>
          </cell>
          <cell r="C1990" t="str">
            <v>UN</v>
          </cell>
          <cell r="D1990">
            <v>4.92</v>
          </cell>
        </row>
        <row r="1991">
          <cell r="A1991" t="str">
            <v>163303</v>
          </cell>
          <cell r="B1991" t="str">
            <v>DIAMETRO 200 MM</v>
          </cell>
          <cell r="C1991" t="str">
            <v>UN</v>
          </cell>
          <cell r="D1991">
            <v>6.57</v>
          </cell>
        </row>
        <row r="1992">
          <cell r="A1992" t="str">
            <v>163304</v>
          </cell>
          <cell r="B1992" t="str">
            <v>DIAMETRO 250 MM</v>
          </cell>
          <cell r="C1992" t="str">
            <v>UN</v>
          </cell>
          <cell r="D1992">
            <v>8.1999999999999993</v>
          </cell>
        </row>
        <row r="1993">
          <cell r="A1993" t="str">
            <v>163305</v>
          </cell>
          <cell r="B1993" t="str">
            <v>DIAMETRO 300 MM</v>
          </cell>
          <cell r="C1993" t="str">
            <v>UN</v>
          </cell>
          <cell r="D1993">
            <v>10.89</v>
          </cell>
        </row>
        <row r="1994">
          <cell r="A1994" t="str">
            <v>163306</v>
          </cell>
          <cell r="B1994" t="str">
            <v>DIAMETRO 400 MM</v>
          </cell>
          <cell r="C1994" t="str">
            <v>UN</v>
          </cell>
          <cell r="D1994">
            <v>15.42</v>
          </cell>
        </row>
        <row r="1995">
          <cell r="A1995" t="str">
            <v>163307</v>
          </cell>
          <cell r="B1995" t="str">
            <v>DIAMETRO 500 MM</v>
          </cell>
          <cell r="C1995" t="str">
            <v>UN</v>
          </cell>
          <cell r="D1995">
            <v>20.85</v>
          </cell>
        </row>
        <row r="1996">
          <cell r="A1996" t="str">
            <v>163308</v>
          </cell>
          <cell r="B1996" t="str">
            <v>DIAMETRO 600 MM</v>
          </cell>
          <cell r="C1996" t="str">
            <v>UN</v>
          </cell>
          <cell r="D1996">
            <v>28.03</v>
          </cell>
        </row>
        <row r="1998">
          <cell r="A1998" t="str">
            <v>163400</v>
          </cell>
          <cell r="B1998" t="str">
            <v>MONTAGEM DE EXTREMIDADES DE FERRO FUNDIDO JE/F</v>
          </cell>
        </row>
        <row r="1999">
          <cell r="A1999" t="str">
            <v>163401</v>
          </cell>
          <cell r="B1999" t="str">
            <v>DIAMETRO 100 MM</v>
          </cell>
          <cell r="C1999" t="str">
            <v>UN</v>
          </cell>
          <cell r="D1999">
            <v>9.4</v>
          </cell>
        </row>
        <row r="2000">
          <cell r="A2000" t="str">
            <v>163402</v>
          </cell>
          <cell r="B2000" t="str">
            <v>DIAMETRO 150 MM</v>
          </cell>
          <cell r="C2000" t="str">
            <v>UN</v>
          </cell>
          <cell r="D2000">
            <v>12.04</v>
          </cell>
        </row>
        <row r="2001">
          <cell r="A2001" t="str">
            <v>163403</v>
          </cell>
          <cell r="B2001" t="str">
            <v>DIAMETRO 200 MM</v>
          </cell>
          <cell r="C2001" t="str">
            <v>UN</v>
          </cell>
          <cell r="D2001">
            <v>15.29</v>
          </cell>
        </row>
        <row r="2002">
          <cell r="A2002" t="str">
            <v>163404</v>
          </cell>
          <cell r="B2002" t="str">
            <v>DIAMETRO 250 MM</v>
          </cell>
          <cell r="C2002" t="str">
            <v>UN</v>
          </cell>
          <cell r="D2002">
            <v>19.63</v>
          </cell>
        </row>
        <row r="2003">
          <cell r="A2003" t="str">
            <v>163405</v>
          </cell>
          <cell r="B2003" t="str">
            <v>DIAMETRO 300 MM</v>
          </cell>
          <cell r="C2003" t="str">
            <v>UN</v>
          </cell>
          <cell r="D2003">
            <v>25.03</v>
          </cell>
        </row>
        <row r="2004">
          <cell r="A2004" t="str">
            <v>163406</v>
          </cell>
          <cell r="B2004" t="str">
            <v>DIAMETRO 400 MM</v>
          </cell>
          <cell r="C2004" t="str">
            <v>UN</v>
          </cell>
          <cell r="D2004">
            <v>34.26</v>
          </cell>
        </row>
        <row r="2005">
          <cell r="A2005" t="str">
            <v>163407</v>
          </cell>
          <cell r="B2005" t="str">
            <v>DIAMETRO 500 MM</v>
          </cell>
          <cell r="C2005" t="str">
            <v>UN</v>
          </cell>
          <cell r="D2005">
            <v>44.74</v>
          </cell>
        </row>
        <row r="2006">
          <cell r="A2006" t="str">
            <v>163408</v>
          </cell>
          <cell r="B2006" t="str">
            <v>DIAMETRO 600 MM</v>
          </cell>
          <cell r="C2006" t="str">
            <v>UN</v>
          </cell>
          <cell r="D2006">
            <v>58.06</v>
          </cell>
        </row>
        <row r="2008">
          <cell r="A2008" t="str">
            <v>163500</v>
          </cell>
          <cell r="B2008" t="str">
            <v>MONTAGEM DE EXTREMIDADES DE FERRO FUNDIDO TIPO FP</v>
          </cell>
        </row>
        <row r="2009">
          <cell r="A2009" t="str">
            <v>163501</v>
          </cell>
          <cell r="B2009" t="str">
            <v>DIAMETRO 100 MM</v>
          </cell>
          <cell r="C2009" t="str">
            <v>UN</v>
          </cell>
          <cell r="D2009">
            <v>9.61</v>
          </cell>
        </row>
        <row r="2010">
          <cell r="A2010" t="str">
            <v>163502</v>
          </cell>
          <cell r="B2010" t="str">
            <v>DIAMETRO 150 MM</v>
          </cell>
          <cell r="C2010" t="str">
            <v>UN</v>
          </cell>
          <cell r="D2010">
            <v>13.8</v>
          </cell>
        </row>
        <row r="2011">
          <cell r="A2011" t="str">
            <v>163503</v>
          </cell>
          <cell r="B2011" t="str">
            <v>DIAMETRO 200 MM</v>
          </cell>
          <cell r="C2011" t="str">
            <v>UN</v>
          </cell>
          <cell r="D2011">
            <v>16.87</v>
          </cell>
        </row>
        <row r="2012">
          <cell r="A2012" t="str">
            <v>163504</v>
          </cell>
          <cell r="B2012" t="str">
            <v>DIAMETRO 250 MM</v>
          </cell>
          <cell r="C2012" t="str">
            <v>UN</v>
          </cell>
          <cell r="D2012">
            <v>22.29</v>
          </cell>
        </row>
        <row r="2013">
          <cell r="A2013" t="str">
            <v>163505</v>
          </cell>
          <cell r="B2013" t="str">
            <v>DIAMETRO 300 MM</v>
          </cell>
          <cell r="C2013" t="str">
            <v>UN</v>
          </cell>
          <cell r="D2013">
            <v>29.36</v>
          </cell>
        </row>
        <row r="2014">
          <cell r="A2014" t="str">
            <v>163506</v>
          </cell>
          <cell r="B2014" t="str">
            <v>DIAMETRO 400 MM</v>
          </cell>
          <cell r="C2014" t="str">
            <v>UN</v>
          </cell>
          <cell r="D2014">
            <v>40.79</v>
          </cell>
        </row>
        <row r="2015">
          <cell r="A2015" t="str">
            <v>163507</v>
          </cell>
          <cell r="B2015" t="str">
            <v>DIAMETRO 500 MM</v>
          </cell>
          <cell r="C2015" t="str">
            <v>UN</v>
          </cell>
          <cell r="D2015">
            <v>54.9</v>
          </cell>
        </row>
        <row r="2016">
          <cell r="A2016" t="str">
            <v>163508</v>
          </cell>
          <cell r="B2016" t="str">
            <v>DIAMETRO 600 MM</v>
          </cell>
          <cell r="C2016" t="str">
            <v>UN</v>
          </cell>
          <cell r="D2016">
            <v>73.22</v>
          </cell>
        </row>
        <row r="2018">
          <cell r="A2018" t="str">
            <v>163600</v>
          </cell>
          <cell r="B2018" t="str">
            <v>MONTAGEM DE FLANGES AVULSOS EM TUBOS DE FERRO FUNDIDO</v>
          </cell>
        </row>
        <row r="2019">
          <cell r="A2019" t="str">
            <v>163601</v>
          </cell>
          <cell r="B2019" t="str">
            <v>DIAMETRO 100 MM</v>
          </cell>
          <cell r="C2019" t="str">
            <v>UN</v>
          </cell>
          <cell r="D2019">
            <v>35.97</v>
          </cell>
        </row>
        <row r="2020">
          <cell r="A2020" t="str">
            <v>163602</v>
          </cell>
          <cell r="B2020" t="str">
            <v>DIAMETRO 150 MM</v>
          </cell>
          <cell r="C2020" t="str">
            <v>UN</v>
          </cell>
          <cell r="D2020">
            <v>42.91</v>
          </cell>
        </row>
        <row r="2021">
          <cell r="A2021" t="str">
            <v>163603</v>
          </cell>
          <cell r="B2021" t="str">
            <v>DIAMETRO 200 MM</v>
          </cell>
          <cell r="C2021" t="str">
            <v>UN</v>
          </cell>
          <cell r="D2021">
            <v>53.16</v>
          </cell>
        </row>
        <row r="2022">
          <cell r="A2022" t="str">
            <v>163604</v>
          </cell>
          <cell r="B2022" t="str">
            <v>DIAMETRO 250 MM</v>
          </cell>
          <cell r="C2022" t="str">
            <v>UN</v>
          </cell>
          <cell r="D2022">
            <v>65.84</v>
          </cell>
        </row>
        <row r="2023">
          <cell r="A2023" t="str">
            <v>163605</v>
          </cell>
          <cell r="B2023" t="str">
            <v>DIAMETRO 300 MM</v>
          </cell>
          <cell r="C2023" t="str">
            <v>UN</v>
          </cell>
          <cell r="D2023">
            <v>81.599999999999994</v>
          </cell>
        </row>
        <row r="2024">
          <cell r="A2024" t="str">
            <v>163606</v>
          </cell>
          <cell r="B2024" t="str">
            <v>DIAMETRO 400 MM</v>
          </cell>
          <cell r="C2024" t="str">
            <v>UN</v>
          </cell>
          <cell r="D2024">
            <v>123.07</v>
          </cell>
        </row>
        <row r="2025">
          <cell r="A2025" t="str">
            <v>163607</v>
          </cell>
          <cell r="B2025" t="str">
            <v>DIAMETRO 500 MM</v>
          </cell>
          <cell r="C2025" t="str">
            <v>UN</v>
          </cell>
          <cell r="D2025">
            <v>177.36</v>
          </cell>
        </row>
        <row r="2026">
          <cell r="A2026" t="str">
            <v>163608</v>
          </cell>
          <cell r="B2026" t="str">
            <v>DIAMETRO 600 MM</v>
          </cell>
          <cell r="C2026" t="str">
            <v>UN</v>
          </cell>
          <cell r="D2026">
            <v>257.98</v>
          </cell>
        </row>
        <row r="2027">
          <cell r="A2027" t="str">
            <v>163609</v>
          </cell>
          <cell r="B2027" t="str">
            <v>DIAMETRO 700 MM</v>
          </cell>
          <cell r="C2027" t="str">
            <v>UN</v>
          </cell>
          <cell r="D2027">
            <v>333.47</v>
          </cell>
        </row>
        <row r="2028">
          <cell r="A2028" t="str">
            <v>163610</v>
          </cell>
          <cell r="B2028" t="str">
            <v>DIAMETRO 800 MM</v>
          </cell>
          <cell r="C2028" t="str">
            <v>UN</v>
          </cell>
          <cell r="D2028">
            <v>416.86</v>
          </cell>
        </row>
        <row r="2030">
          <cell r="A2030" t="str">
            <v>163700</v>
          </cell>
          <cell r="B2030" t="str">
            <v>MONTAGEM DE CARRETEIS PARA UNIAO COM FLANGES</v>
          </cell>
        </row>
        <row r="2031">
          <cell r="A2031" t="str">
            <v>163701</v>
          </cell>
          <cell r="B2031" t="str">
            <v>DIAMETRO 100 MM</v>
          </cell>
          <cell r="C2031" t="str">
            <v>UN</v>
          </cell>
          <cell r="D2031">
            <v>11.53</v>
          </cell>
        </row>
        <row r="2032">
          <cell r="A2032" t="str">
            <v>163702</v>
          </cell>
          <cell r="B2032" t="str">
            <v>DIAMETRO 150 MM</v>
          </cell>
          <cell r="C2032" t="str">
            <v>UN</v>
          </cell>
          <cell r="D2032">
            <v>16.47</v>
          </cell>
        </row>
        <row r="2033">
          <cell r="A2033" t="str">
            <v>163703</v>
          </cell>
          <cell r="B2033" t="str">
            <v>DIAMETRO 200 MM</v>
          </cell>
          <cell r="C2033" t="str">
            <v>UN</v>
          </cell>
          <cell r="D2033">
            <v>20.53</v>
          </cell>
        </row>
        <row r="2034">
          <cell r="A2034" t="str">
            <v>163704</v>
          </cell>
          <cell r="B2034" t="str">
            <v>DIAMETRO 250 MM</v>
          </cell>
          <cell r="C2034" t="str">
            <v>UN</v>
          </cell>
          <cell r="D2034">
            <v>27.35</v>
          </cell>
        </row>
        <row r="2035">
          <cell r="A2035" t="str">
            <v>163705</v>
          </cell>
          <cell r="B2035" t="str">
            <v>DIAMETRO 300 MM</v>
          </cell>
          <cell r="C2035" t="str">
            <v>UN</v>
          </cell>
          <cell r="D2035">
            <v>34.99</v>
          </cell>
        </row>
        <row r="2036">
          <cell r="A2036" t="str">
            <v>163706</v>
          </cell>
          <cell r="B2036" t="str">
            <v>DIAMETRO 400 MM</v>
          </cell>
          <cell r="C2036" t="str">
            <v>UN</v>
          </cell>
          <cell r="D2036">
            <v>49.01</v>
          </cell>
        </row>
        <row r="2037">
          <cell r="A2037" t="str">
            <v>163707</v>
          </cell>
          <cell r="B2037" t="str">
            <v>DIAMETRO 500 MM</v>
          </cell>
          <cell r="C2037" t="str">
            <v>UN</v>
          </cell>
          <cell r="D2037">
            <v>64.739999999999995</v>
          </cell>
        </row>
        <row r="2038">
          <cell r="A2038" t="str">
            <v>163708</v>
          </cell>
          <cell r="B2038" t="str">
            <v>DIAMETRO 600 MM</v>
          </cell>
          <cell r="C2038" t="str">
            <v>UN</v>
          </cell>
          <cell r="D2038">
            <v>84.73</v>
          </cell>
        </row>
        <row r="2039">
          <cell r="A2039" t="str">
            <v>163709</v>
          </cell>
          <cell r="B2039" t="str">
            <v>DIAMETRO 700 MM</v>
          </cell>
          <cell r="C2039" t="str">
            <v>UN</v>
          </cell>
          <cell r="D2039">
            <v>112.67</v>
          </cell>
        </row>
        <row r="2040">
          <cell r="A2040" t="str">
            <v>163710</v>
          </cell>
          <cell r="B2040" t="str">
            <v>DIAMETRO 800 MM</v>
          </cell>
          <cell r="C2040" t="str">
            <v>UN</v>
          </cell>
          <cell r="D2040">
            <v>152.84</v>
          </cell>
        </row>
        <row r="2041">
          <cell r="A2041" t="str">
            <v>163711</v>
          </cell>
          <cell r="B2041" t="str">
            <v>DIAMETRO 900 MM</v>
          </cell>
          <cell r="C2041" t="str">
            <v>UN</v>
          </cell>
          <cell r="D2041">
            <v>180.2</v>
          </cell>
        </row>
        <row r="2042">
          <cell r="A2042" t="str">
            <v>163712</v>
          </cell>
          <cell r="B2042" t="str">
            <v>DIAMETRO 1000 MM</v>
          </cell>
          <cell r="C2042" t="str">
            <v>UN</v>
          </cell>
          <cell r="D2042">
            <v>216.65</v>
          </cell>
        </row>
        <row r="2044">
          <cell r="A2044" t="str">
            <v>163800</v>
          </cell>
          <cell r="B2044" t="str">
            <v>MONTAGEM DE CURVAS DE FERRO FUNDIDO 90 GR TIPO FF</v>
          </cell>
        </row>
        <row r="2045">
          <cell r="A2045" t="str">
            <v>163801</v>
          </cell>
          <cell r="B2045" t="str">
            <v>DIAMETRO 100 MM</v>
          </cell>
          <cell r="C2045" t="str">
            <v>UN</v>
          </cell>
          <cell r="D2045">
            <v>10.41</v>
          </cell>
        </row>
        <row r="2046">
          <cell r="A2046" t="str">
            <v>163802</v>
          </cell>
          <cell r="B2046" t="str">
            <v>DIAMETRO 150 MM</v>
          </cell>
          <cell r="C2046" t="str">
            <v>UN</v>
          </cell>
          <cell r="D2046">
            <v>14.85</v>
          </cell>
        </row>
        <row r="2047">
          <cell r="A2047" t="str">
            <v>163803</v>
          </cell>
          <cell r="B2047" t="str">
            <v>DIAMETRO 200 MM</v>
          </cell>
          <cell r="C2047" t="str">
            <v>UN</v>
          </cell>
          <cell r="D2047">
            <v>18.579999999999998</v>
          </cell>
        </row>
        <row r="2048">
          <cell r="A2048" t="str">
            <v>163804</v>
          </cell>
          <cell r="B2048" t="str">
            <v>DIAMETRO 250 MM</v>
          </cell>
          <cell r="C2048" t="str">
            <v>UN</v>
          </cell>
          <cell r="D2048">
            <v>25.16</v>
          </cell>
        </row>
        <row r="2049">
          <cell r="A2049" t="str">
            <v>163805</v>
          </cell>
          <cell r="B2049" t="str">
            <v>DIAMETRO 300 MM</v>
          </cell>
          <cell r="C2049" t="str">
            <v>UN</v>
          </cell>
          <cell r="D2049">
            <v>33.619999999999997</v>
          </cell>
        </row>
        <row r="2050">
          <cell r="A2050" t="str">
            <v>163806</v>
          </cell>
          <cell r="B2050" t="str">
            <v>DIAMETRO 400 MM</v>
          </cell>
          <cell r="C2050" t="str">
            <v>UN</v>
          </cell>
          <cell r="D2050">
            <v>48.1</v>
          </cell>
        </row>
        <row r="2051">
          <cell r="A2051" t="str">
            <v>163807</v>
          </cell>
          <cell r="B2051" t="str">
            <v>DIAMETRO 500 MM</v>
          </cell>
          <cell r="C2051" t="str">
            <v>UN</v>
          </cell>
          <cell r="D2051">
            <v>66.97</v>
          </cell>
        </row>
        <row r="2052">
          <cell r="A2052" t="str">
            <v>163808</v>
          </cell>
          <cell r="B2052" t="str">
            <v>DIAMETRO 600 MM</v>
          </cell>
          <cell r="C2052" t="str">
            <v>UN</v>
          </cell>
          <cell r="D2052">
            <v>119.77</v>
          </cell>
        </row>
        <row r="2053">
          <cell r="A2053" t="str">
            <v>163809</v>
          </cell>
          <cell r="B2053" t="str">
            <v>DIAMETRO 700 MM</v>
          </cell>
          <cell r="C2053" t="str">
            <v>UN</v>
          </cell>
          <cell r="D2053">
            <v>127.14</v>
          </cell>
        </row>
        <row r="2054">
          <cell r="A2054" t="str">
            <v>163810</v>
          </cell>
          <cell r="B2054" t="str">
            <v>DIAMETRO 800 MM</v>
          </cell>
          <cell r="C2054" t="str">
            <v>UN</v>
          </cell>
          <cell r="D2054">
            <v>179.15</v>
          </cell>
        </row>
        <row r="2055">
          <cell r="A2055" t="str">
            <v>163811</v>
          </cell>
          <cell r="B2055" t="str">
            <v>DIAMETRO 900 MM</v>
          </cell>
          <cell r="C2055" t="str">
            <v>UN</v>
          </cell>
          <cell r="D2055">
            <v>224.57</v>
          </cell>
        </row>
        <row r="2056">
          <cell r="A2056" t="str">
            <v>163812</v>
          </cell>
          <cell r="B2056" t="str">
            <v>DIAMETRO 1000 MM</v>
          </cell>
          <cell r="C2056" t="str">
            <v>UN</v>
          </cell>
          <cell r="D2056">
            <v>279.58999999999997</v>
          </cell>
        </row>
        <row r="2058">
          <cell r="A2058" t="str">
            <v>163900</v>
          </cell>
          <cell r="B2058" t="str">
            <v>MONTAGEM DE CURVAS DE PE FOFO 90GR TIPO FF</v>
          </cell>
        </row>
        <row r="2059">
          <cell r="A2059" t="str">
            <v>163901</v>
          </cell>
          <cell r="B2059" t="str">
            <v>DIAMETRO 100 MM</v>
          </cell>
          <cell r="C2059" t="str">
            <v>UN</v>
          </cell>
          <cell r="D2059">
            <v>12.24</v>
          </cell>
        </row>
        <row r="2060">
          <cell r="A2060" t="str">
            <v>163902</v>
          </cell>
          <cell r="B2060" t="str">
            <v>DIAMETRO 150 MM</v>
          </cell>
          <cell r="C2060" t="str">
            <v>UN</v>
          </cell>
          <cell r="D2060">
            <v>18.16</v>
          </cell>
        </row>
        <row r="2061">
          <cell r="A2061" t="str">
            <v>163903</v>
          </cell>
          <cell r="B2061" t="str">
            <v>DIAMETRO 200 MM</v>
          </cell>
          <cell r="C2061" t="str">
            <v>UN</v>
          </cell>
          <cell r="D2061">
            <v>23.74</v>
          </cell>
        </row>
        <row r="2062">
          <cell r="A2062" t="str">
            <v>163904</v>
          </cell>
          <cell r="B2062" t="str">
            <v>DIAMETRO 250 MM</v>
          </cell>
          <cell r="C2062" t="str">
            <v>UN</v>
          </cell>
          <cell r="D2062">
            <v>32.26</v>
          </cell>
        </row>
        <row r="2063">
          <cell r="A2063" t="str">
            <v>163905</v>
          </cell>
          <cell r="B2063" t="str">
            <v>DIAMETRO 300 MM</v>
          </cell>
          <cell r="C2063" t="str">
            <v>UN</v>
          </cell>
          <cell r="D2063">
            <v>43.59</v>
          </cell>
        </row>
        <row r="2064">
          <cell r="A2064" t="str">
            <v>163906</v>
          </cell>
          <cell r="B2064" t="str">
            <v>DIAMETRO 400 MM</v>
          </cell>
          <cell r="C2064" t="str">
            <v>UN</v>
          </cell>
          <cell r="D2064">
            <v>68.040000000000006</v>
          </cell>
        </row>
        <row r="2065">
          <cell r="A2065" t="str">
            <v>163907</v>
          </cell>
          <cell r="B2065" t="str">
            <v>DIAMETRO 500 MM</v>
          </cell>
          <cell r="C2065" t="str">
            <v>UN</v>
          </cell>
          <cell r="D2065">
            <v>98.08</v>
          </cell>
        </row>
        <row r="2066">
          <cell r="A2066" t="str">
            <v>163908</v>
          </cell>
          <cell r="B2066" t="str">
            <v>DIAMETRO 600 MM</v>
          </cell>
          <cell r="C2066" t="str">
            <v>UN</v>
          </cell>
          <cell r="D2066">
            <v>141.81</v>
          </cell>
        </row>
        <row r="2068">
          <cell r="A2068" t="str">
            <v>164000</v>
          </cell>
          <cell r="B2068" t="str">
            <v>MONTAGEM DE CURVAS DE FERRO FUNDIDO 45 GR TIPO FF</v>
          </cell>
        </row>
        <row r="2069">
          <cell r="A2069" t="str">
            <v>164001</v>
          </cell>
          <cell r="B2069" t="str">
            <v>DIAMETRO 100 MM</v>
          </cell>
          <cell r="C2069" t="str">
            <v>UN</v>
          </cell>
          <cell r="D2069">
            <v>10.37</v>
          </cell>
        </row>
        <row r="2070">
          <cell r="A2070" t="str">
            <v>164002</v>
          </cell>
          <cell r="B2070" t="str">
            <v>DIAMETRO 150 MM</v>
          </cell>
          <cell r="C2070" t="str">
            <v>UN</v>
          </cell>
          <cell r="D2070">
            <v>14.77</v>
          </cell>
        </row>
        <row r="2071">
          <cell r="A2071" t="str">
            <v>164003</v>
          </cell>
          <cell r="B2071" t="str">
            <v>DIAMETRO 200 MM</v>
          </cell>
          <cell r="C2071" t="str">
            <v>UN</v>
          </cell>
          <cell r="D2071">
            <v>18.399999999999999</v>
          </cell>
        </row>
        <row r="2072">
          <cell r="A2072" t="str">
            <v>164004</v>
          </cell>
          <cell r="B2072" t="str">
            <v>DIAMETRO 250 MM</v>
          </cell>
          <cell r="C2072" t="str">
            <v>UN</v>
          </cell>
          <cell r="D2072">
            <v>25.68</v>
          </cell>
        </row>
        <row r="2073">
          <cell r="A2073" t="str">
            <v>164005</v>
          </cell>
          <cell r="B2073" t="str">
            <v>DIAMETRO 300 MM</v>
          </cell>
          <cell r="C2073" t="str">
            <v>UN</v>
          </cell>
          <cell r="D2073">
            <v>34.39</v>
          </cell>
        </row>
        <row r="2074">
          <cell r="A2074" t="str">
            <v>164006</v>
          </cell>
          <cell r="B2074" t="str">
            <v>DIAMETRO 400 MM</v>
          </cell>
          <cell r="C2074" t="str">
            <v>UN</v>
          </cell>
          <cell r="D2074">
            <v>46.13</v>
          </cell>
        </row>
        <row r="2075">
          <cell r="A2075" t="str">
            <v>164007</v>
          </cell>
          <cell r="B2075" t="str">
            <v>DIAMETRO 500 MM</v>
          </cell>
          <cell r="C2075" t="str">
            <v>UN</v>
          </cell>
          <cell r="D2075">
            <v>62.97</v>
          </cell>
        </row>
        <row r="2076">
          <cell r="A2076" t="str">
            <v>164008</v>
          </cell>
          <cell r="B2076" t="str">
            <v>DIAMETRO 600 MM</v>
          </cell>
          <cell r="C2076" t="str">
            <v>UN</v>
          </cell>
          <cell r="D2076">
            <v>85.45</v>
          </cell>
        </row>
        <row r="2077">
          <cell r="A2077" t="str">
            <v>164009</v>
          </cell>
          <cell r="B2077" t="str">
            <v>DIAMETRO 700 MM</v>
          </cell>
          <cell r="C2077" t="str">
            <v>UN</v>
          </cell>
          <cell r="D2077">
            <v>116.46</v>
          </cell>
        </row>
        <row r="2078">
          <cell r="A2078" t="str">
            <v>164010</v>
          </cell>
          <cell r="B2078" t="str">
            <v>DIAMETRO 800 MM</v>
          </cell>
          <cell r="C2078" t="str">
            <v>UN</v>
          </cell>
          <cell r="D2078">
            <v>163.24</v>
          </cell>
        </row>
        <row r="2079">
          <cell r="A2079" t="str">
            <v>164011</v>
          </cell>
          <cell r="B2079" t="str">
            <v>DIAMETRO 900 MM</v>
          </cell>
          <cell r="C2079" t="str">
            <v>UN</v>
          </cell>
          <cell r="D2079">
            <v>202.08</v>
          </cell>
        </row>
        <row r="2080">
          <cell r="A2080" t="str">
            <v>164012</v>
          </cell>
          <cell r="B2080" t="str">
            <v>DIAMETRO 1000 MM</v>
          </cell>
          <cell r="C2080" t="str">
            <v>UN</v>
          </cell>
          <cell r="D2080">
            <v>250.07</v>
          </cell>
        </row>
        <row r="2082">
          <cell r="A2082" t="str">
            <v>164100</v>
          </cell>
          <cell r="B2082" t="str">
            <v>MONTAGEM DE TES DE FERRO FUNDIDO TIPO FFF</v>
          </cell>
        </row>
        <row r="2083">
          <cell r="A2083" t="str">
            <v>164101</v>
          </cell>
          <cell r="B2083" t="str">
            <v>DIAMETRO 100-50 MM</v>
          </cell>
          <cell r="C2083" t="str">
            <v>UN</v>
          </cell>
          <cell r="D2083">
            <v>13.12</v>
          </cell>
        </row>
        <row r="2084">
          <cell r="A2084" t="str">
            <v>164102</v>
          </cell>
          <cell r="B2084" t="str">
            <v>DIAMETRO 100-75 MM</v>
          </cell>
          <cell r="C2084" t="str">
            <v>UN</v>
          </cell>
          <cell r="D2084">
            <v>13.68</v>
          </cell>
        </row>
        <row r="2085">
          <cell r="A2085" t="str">
            <v>164103</v>
          </cell>
          <cell r="B2085" t="str">
            <v>DIAMETRO 100-100 MM</v>
          </cell>
          <cell r="C2085" t="str">
            <v>UN</v>
          </cell>
          <cell r="D2085">
            <v>15.81</v>
          </cell>
        </row>
        <row r="2086">
          <cell r="A2086" t="str">
            <v>164104</v>
          </cell>
          <cell r="B2086" t="str">
            <v>DIAMETRO 150-50 MM</v>
          </cell>
          <cell r="C2086" t="str">
            <v>UN</v>
          </cell>
          <cell r="D2086">
            <v>17.48</v>
          </cell>
        </row>
        <row r="2087">
          <cell r="A2087" t="str">
            <v>164105</v>
          </cell>
          <cell r="B2087" t="str">
            <v>DIAMETRO 150-75 MM</v>
          </cell>
          <cell r="C2087" t="str">
            <v>UN</v>
          </cell>
          <cell r="D2087">
            <v>18.399999999999999</v>
          </cell>
        </row>
        <row r="2088">
          <cell r="A2088" t="str">
            <v>164106</v>
          </cell>
          <cell r="B2088" t="str">
            <v>DIAMETRO 150-100 MM</v>
          </cell>
          <cell r="C2088" t="str">
            <v>UN</v>
          </cell>
          <cell r="D2088">
            <v>20.5</v>
          </cell>
        </row>
        <row r="2089">
          <cell r="A2089" t="str">
            <v>164107</v>
          </cell>
          <cell r="B2089" t="str">
            <v>DIAMETRO 150-150 MM</v>
          </cell>
          <cell r="C2089" t="str">
            <v>UN</v>
          </cell>
          <cell r="D2089">
            <v>22.7</v>
          </cell>
        </row>
        <row r="2090">
          <cell r="A2090" t="str">
            <v>164108</v>
          </cell>
          <cell r="B2090" t="str">
            <v>DIAMETRO 200-75 MM</v>
          </cell>
          <cell r="C2090" t="str">
            <v>UN</v>
          </cell>
          <cell r="D2090">
            <v>22.35</v>
          </cell>
        </row>
        <row r="2091">
          <cell r="A2091" t="str">
            <v>164109</v>
          </cell>
          <cell r="B2091" t="str">
            <v>DIAMETRO 200-100 MM</v>
          </cell>
          <cell r="C2091" t="str">
            <v>UN</v>
          </cell>
          <cell r="D2091">
            <v>24.49</v>
          </cell>
        </row>
        <row r="2092">
          <cell r="A2092" t="str">
            <v>164110</v>
          </cell>
          <cell r="B2092" t="str">
            <v>DIAMETRO 200-150 MM</v>
          </cell>
          <cell r="C2092" t="str">
            <v>UN</v>
          </cell>
          <cell r="D2092">
            <v>26.63</v>
          </cell>
        </row>
        <row r="2093">
          <cell r="A2093" t="str">
            <v>164111</v>
          </cell>
          <cell r="B2093" t="str">
            <v>DIAMETRO 200-200 MM</v>
          </cell>
          <cell r="C2093" t="str">
            <v>UN</v>
          </cell>
          <cell r="D2093">
            <v>28.31</v>
          </cell>
        </row>
        <row r="2094">
          <cell r="A2094" t="str">
            <v>164112</v>
          </cell>
          <cell r="B2094" t="str">
            <v>DIAMETRO 250-100 MM</v>
          </cell>
          <cell r="C2094" t="str">
            <v>UN</v>
          </cell>
          <cell r="D2094">
            <v>31.88</v>
          </cell>
        </row>
        <row r="2095">
          <cell r="A2095" t="str">
            <v>164113</v>
          </cell>
          <cell r="B2095" t="str">
            <v>DIAMETRO 250-200 MM</v>
          </cell>
          <cell r="C2095" t="str">
            <v>UN</v>
          </cell>
          <cell r="D2095">
            <v>35.729999999999997</v>
          </cell>
        </row>
        <row r="2096">
          <cell r="A2096" t="str">
            <v>164114</v>
          </cell>
          <cell r="B2096" t="str">
            <v>DIAMETRO 250-250 MM</v>
          </cell>
          <cell r="C2096" t="str">
            <v>UN</v>
          </cell>
          <cell r="D2096">
            <v>38.79</v>
          </cell>
        </row>
        <row r="2097">
          <cell r="A2097" t="str">
            <v>164115</v>
          </cell>
          <cell r="B2097" t="str">
            <v>DIAMETRO 300-100 MM</v>
          </cell>
          <cell r="C2097" t="str">
            <v>UN</v>
          </cell>
          <cell r="D2097">
            <v>41</v>
          </cell>
        </row>
        <row r="2098">
          <cell r="A2098" t="str">
            <v>164116</v>
          </cell>
          <cell r="B2098" t="str">
            <v>DIAMETRO 300-200 MM</v>
          </cell>
          <cell r="C2098" t="str">
            <v>UN</v>
          </cell>
          <cell r="D2098">
            <v>44.99</v>
          </cell>
        </row>
        <row r="2099">
          <cell r="A2099" t="str">
            <v>164117</v>
          </cell>
          <cell r="B2099" t="str">
            <v>DIAMETRO 300-300 MM</v>
          </cell>
          <cell r="C2099" t="str">
            <v>UN</v>
          </cell>
          <cell r="D2099">
            <v>52.4</v>
          </cell>
        </row>
        <row r="2100">
          <cell r="A2100" t="str">
            <v>164118</v>
          </cell>
          <cell r="B2100" t="str">
            <v>DIAMETRO 350-100 MM</v>
          </cell>
          <cell r="C2100" t="str">
            <v>UN</v>
          </cell>
          <cell r="D2100">
            <v>48.51</v>
          </cell>
        </row>
        <row r="2101">
          <cell r="A2101" t="str">
            <v>164119</v>
          </cell>
          <cell r="B2101" t="str">
            <v>DIAMETRO 350-200 MM</v>
          </cell>
          <cell r="C2101" t="str">
            <v>UN</v>
          </cell>
          <cell r="D2101">
            <v>52.33</v>
          </cell>
        </row>
        <row r="2102">
          <cell r="A2102" t="str">
            <v>164120</v>
          </cell>
          <cell r="B2102" t="str">
            <v>DIAMETRO 350-350 MM</v>
          </cell>
          <cell r="C2102" t="str">
            <v>UN</v>
          </cell>
          <cell r="D2102">
            <v>62.6</v>
          </cell>
        </row>
        <row r="2103">
          <cell r="A2103" t="str">
            <v>164121</v>
          </cell>
          <cell r="B2103" t="str">
            <v>DIAMETRO 400-100 MM</v>
          </cell>
          <cell r="C2103" t="str">
            <v>UN</v>
          </cell>
          <cell r="D2103">
            <v>55.8</v>
          </cell>
        </row>
        <row r="2104">
          <cell r="A2104" t="str">
            <v>164122</v>
          </cell>
          <cell r="B2104" t="str">
            <v>DIAMETRO 400-200 MM</v>
          </cell>
          <cell r="C2104" t="str">
            <v>UN</v>
          </cell>
          <cell r="D2104">
            <v>59.5</v>
          </cell>
        </row>
        <row r="2105">
          <cell r="A2105" t="str">
            <v>164123</v>
          </cell>
          <cell r="B2105" t="str">
            <v>DIAMETRO 400-300 MM</v>
          </cell>
          <cell r="C2105" t="str">
            <v>UN</v>
          </cell>
          <cell r="D2105">
            <v>66.849999999999994</v>
          </cell>
        </row>
        <row r="2106">
          <cell r="A2106" t="str">
            <v>164124</v>
          </cell>
          <cell r="B2106" t="str">
            <v>DIAMETRO 400-400 MM</v>
          </cell>
          <cell r="C2106" t="str">
            <v>UN</v>
          </cell>
          <cell r="D2106">
            <v>72.88</v>
          </cell>
        </row>
        <row r="2107">
          <cell r="A2107" t="str">
            <v>164125</v>
          </cell>
          <cell r="B2107" t="str">
            <v>DIAMETRO 500-100 MM</v>
          </cell>
          <cell r="C2107" t="str">
            <v>UN</v>
          </cell>
          <cell r="D2107">
            <v>75.19</v>
          </cell>
        </row>
        <row r="2108">
          <cell r="A2108" t="str">
            <v>164126</v>
          </cell>
          <cell r="B2108" t="str">
            <v>DIAMETRO 500-200 MM</v>
          </cell>
          <cell r="C2108" t="str">
            <v>UN</v>
          </cell>
          <cell r="D2108">
            <v>78.92</v>
          </cell>
        </row>
        <row r="2109">
          <cell r="A2109" t="str">
            <v>164127</v>
          </cell>
          <cell r="B2109" t="str">
            <v>DIAMETRO 500-300 MM</v>
          </cell>
          <cell r="C2109" t="str">
            <v>UN</v>
          </cell>
          <cell r="D2109">
            <v>85.59</v>
          </cell>
        </row>
        <row r="2110">
          <cell r="A2110" t="str">
            <v>164128</v>
          </cell>
          <cell r="B2110" t="str">
            <v>DIAMETRO 500-400 MM</v>
          </cell>
          <cell r="C2110" t="str">
            <v>UN</v>
          </cell>
          <cell r="D2110">
            <v>91.96</v>
          </cell>
        </row>
        <row r="2111">
          <cell r="A2111" t="str">
            <v>164129</v>
          </cell>
          <cell r="B2111" t="str">
            <v>DIAMETRO 500-500 MM</v>
          </cell>
          <cell r="C2111" t="str">
            <v>UN</v>
          </cell>
          <cell r="D2111">
            <v>98.45</v>
          </cell>
        </row>
        <row r="2112">
          <cell r="A2112" t="str">
            <v>164130</v>
          </cell>
          <cell r="B2112" t="str">
            <v>DIAMETRO 600-200 MM</v>
          </cell>
          <cell r="C2112" t="str">
            <v>UN</v>
          </cell>
          <cell r="D2112">
            <v>104.09</v>
          </cell>
        </row>
        <row r="2113">
          <cell r="A2113" t="str">
            <v>164131</v>
          </cell>
          <cell r="B2113" t="str">
            <v>DIAMETRO 600-300 MM</v>
          </cell>
          <cell r="C2113" t="str">
            <v>UN</v>
          </cell>
          <cell r="D2113">
            <v>110.82</v>
          </cell>
        </row>
        <row r="2114">
          <cell r="A2114" t="str">
            <v>164132</v>
          </cell>
          <cell r="B2114" t="str">
            <v>DIAMETRO 600-400 MM</v>
          </cell>
          <cell r="C2114" t="str">
            <v>UN</v>
          </cell>
          <cell r="D2114">
            <v>117.07</v>
          </cell>
        </row>
        <row r="2115">
          <cell r="A2115" t="str">
            <v>164133</v>
          </cell>
          <cell r="B2115" t="str">
            <v>DIAMETRO 600-600 MM</v>
          </cell>
          <cell r="C2115" t="str">
            <v>UN</v>
          </cell>
          <cell r="D2115">
            <v>133.61000000000001</v>
          </cell>
        </row>
        <row r="2116">
          <cell r="A2116" t="str">
            <v>164134</v>
          </cell>
          <cell r="B2116" t="str">
            <v>DIAMETRO 700-200 MM</v>
          </cell>
          <cell r="C2116" t="str">
            <v>UN</v>
          </cell>
          <cell r="D2116">
            <v>121.03</v>
          </cell>
        </row>
        <row r="2117">
          <cell r="A2117" t="str">
            <v>164135</v>
          </cell>
          <cell r="B2117" t="str">
            <v>DIAMETRO 700-400 MM</v>
          </cell>
          <cell r="C2117" t="str">
            <v>UN</v>
          </cell>
          <cell r="D2117">
            <v>140.63</v>
          </cell>
        </row>
        <row r="2118">
          <cell r="A2118" t="str">
            <v>164136</v>
          </cell>
          <cell r="B2118" t="str">
            <v>DIAMETRO 700-700 MM</v>
          </cell>
          <cell r="C2118" t="str">
            <v>UN</v>
          </cell>
          <cell r="D2118">
            <v>179.17</v>
          </cell>
        </row>
        <row r="2119">
          <cell r="A2119" t="str">
            <v>164137</v>
          </cell>
          <cell r="B2119" t="str">
            <v>DIAMETRO 800-200 MM</v>
          </cell>
          <cell r="C2119" t="str">
            <v>UN</v>
          </cell>
          <cell r="D2119">
            <v>161.51</v>
          </cell>
        </row>
        <row r="2120">
          <cell r="A2120" t="str">
            <v>164138</v>
          </cell>
          <cell r="B2120" t="str">
            <v>DIAMETRO 800-400 MM</v>
          </cell>
          <cell r="C2120" t="str">
            <v>UN</v>
          </cell>
          <cell r="D2120">
            <v>184.03</v>
          </cell>
        </row>
        <row r="2121">
          <cell r="A2121" t="str">
            <v>164139</v>
          </cell>
          <cell r="B2121" t="str">
            <v>DIAMETRO 800-600 MM</v>
          </cell>
          <cell r="C2121" t="str">
            <v>UN</v>
          </cell>
          <cell r="D2121">
            <v>221.48</v>
          </cell>
        </row>
        <row r="2122">
          <cell r="A2122" t="str">
            <v>164140</v>
          </cell>
          <cell r="B2122" t="str">
            <v>DIAMETRO 800-800 MM</v>
          </cell>
          <cell r="C2122" t="str">
            <v>UN</v>
          </cell>
          <cell r="D2122">
            <v>252.46</v>
          </cell>
        </row>
        <row r="2123">
          <cell r="A2123" t="str">
            <v>164141</v>
          </cell>
          <cell r="B2123" t="str">
            <v>DIAMETRO 900-200 MM</v>
          </cell>
          <cell r="C2123" t="str">
            <v>UN</v>
          </cell>
          <cell r="D2123">
            <v>195.12</v>
          </cell>
        </row>
        <row r="2124">
          <cell r="A2124" t="str">
            <v>164142</v>
          </cell>
          <cell r="B2124" t="str">
            <v>DIAMETRO 900-400 MM</v>
          </cell>
          <cell r="C2124" t="str">
            <v>UN</v>
          </cell>
          <cell r="D2124">
            <v>220</v>
          </cell>
        </row>
        <row r="2125">
          <cell r="A2125" t="str">
            <v>164143</v>
          </cell>
          <cell r="B2125" t="str">
            <v>DIAMETRO 900-600 MM</v>
          </cell>
          <cell r="C2125" t="str">
            <v>UN</v>
          </cell>
          <cell r="D2125">
            <v>268.83</v>
          </cell>
        </row>
        <row r="2126">
          <cell r="A2126" t="str">
            <v>164144</v>
          </cell>
          <cell r="B2126" t="str">
            <v>DIAMETRO 900-900 MM</v>
          </cell>
          <cell r="C2126" t="str">
            <v>UN</v>
          </cell>
          <cell r="D2126">
            <v>313.7</v>
          </cell>
        </row>
        <row r="2127">
          <cell r="A2127" t="str">
            <v>164145</v>
          </cell>
          <cell r="B2127" t="str">
            <v>DIAMETRO 1000-200 MM</v>
          </cell>
          <cell r="C2127" t="str">
            <v>UN</v>
          </cell>
          <cell r="D2127">
            <v>236.93</v>
          </cell>
        </row>
        <row r="2128">
          <cell r="A2128" t="str">
            <v>164146</v>
          </cell>
          <cell r="B2128" t="str">
            <v>DIAMETRO 1000-400 MM</v>
          </cell>
          <cell r="C2128" t="str">
            <v>UN</v>
          </cell>
          <cell r="D2128">
            <v>264.25</v>
          </cell>
        </row>
        <row r="2129">
          <cell r="A2129" t="str">
            <v>164147</v>
          </cell>
          <cell r="B2129" t="str">
            <v>DIAMETRO 1000-600 MM</v>
          </cell>
          <cell r="C2129" t="str">
            <v>UN</v>
          </cell>
          <cell r="D2129">
            <v>320.88</v>
          </cell>
        </row>
        <row r="2130">
          <cell r="A2130" t="str">
            <v>164148</v>
          </cell>
          <cell r="B2130" t="str">
            <v>DIAMETRO 1000-1000 MM</v>
          </cell>
          <cell r="C2130" t="str">
            <v>UN</v>
          </cell>
          <cell r="D2130">
            <v>389.83</v>
          </cell>
        </row>
        <row r="2131">
          <cell r="A2131" t="str">
            <v>164149</v>
          </cell>
          <cell r="B2131" t="str">
            <v>DIAMETRO 1200-200 MM</v>
          </cell>
          <cell r="C2131" t="str">
            <v>UN</v>
          </cell>
          <cell r="D2131">
            <v>307.05</v>
          </cell>
        </row>
        <row r="2132">
          <cell r="A2132" t="str">
            <v>164150</v>
          </cell>
          <cell r="B2132" t="str">
            <v>DIAMETRO 1200-400 MM</v>
          </cell>
          <cell r="C2132" t="str">
            <v>UN</v>
          </cell>
          <cell r="D2132">
            <v>340.06</v>
          </cell>
        </row>
        <row r="2133">
          <cell r="A2133" t="str">
            <v>164151</v>
          </cell>
          <cell r="B2133" t="str">
            <v>DIAMETRO 1200-600 MM</v>
          </cell>
          <cell r="C2133" t="str">
            <v>UN</v>
          </cell>
          <cell r="D2133">
            <v>372.75</v>
          </cell>
        </row>
        <row r="2134">
          <cell r="A2134" t="str">
            <v>164152</v>
          </cell>
          <cell r="B2134" t="str">
            <v>DIAMETRO 1200-800 MM</v>
          </cell>
          <cell r="C2134" t="str">
            <v>UN</v>
          </cell>
          <cell r="D2134">
            <v>436.77</v>
          </cell>
        </row>
        <row r="2135">
          <cell r="A2135" t="str">
            <v>164153</v>
          </cell>
          <cell r="B2135" t="str">
            <v>DIAMETRO 1200-1000 MM</v>
          </cell>
          <cell r="C2135" t="str">
            <v>UN</v>
          </cell>
          <cell r="D2135">
            <v>489.74</v>
          </cell>
        </row>
        <row r="2136">
          <cell r="A2136" t="str">
            <v>164154</v>
          </cell>
          <cell r="B2136" t="str">
            <v>DIAMETRO 1200-1200 MM</v>
          </cell>
          <cell r="C2136" t="str">
            <v>UN</v>
          </cell>
          <cell r="D2136">
            <v>550.51</v>
          </cell>
        </row>
        <row r="2138">
          <cell r="A2138" t="str">
            <v>164200</v>
          </cell>
          <cell r="B2138" t="str">
            <v>MONTAGEM DE REDUCOES CONCENTRICAS DE FERRO FUNDIDO TIPO FF</v>
          </cell>
        </row>
        <row r="2139">
          <cell r="A2139" t="str">
            <v>164201</v>
          </cell>
          <cell r="B2139" t="str">
            <v>DIAMETRO 100-75 MM</v>
          </cell>
          <cell r="C2139" t="str">
            <v>UN</v>
          </cell>
          <cell r="D2139">
            <v>8.24</v>
          </cell>
        </row>
        <row r="2140">
          <cell r="A2140" t="str">
            <v>164202</v>
          </cell>
          <cell r="B2140" t="str">
            <v>DIAMETRO 150- 100 MM</v>
          </cell>
          <cell r="C2140" t="str">
            <v>UN</v>
          </cell>
          <cell r="D2140">
            <v>13.39</v>
          </cell>
        </row>
        <row r="2141">
          <cell r="A2141" t="str">
            <v>164203</v>
          </cell>
          <cell r="B2141" t="str">
            <v>DIAMETRO 200-150 MM</v>
          </cell>
          <cell r="C2141" t="str">
            <v>UN</v>
          </cell>
          <cell r="D2141">
            <v>16.649999999999999</v>
          </cell>
        </row>
        <row r="2142">
          <cell r="A2142" t="str">
            <v>164204</v>
          </cell>
          <cell r="B2142" t="str">
            <v>DIAMETRO 250-200 MM</v>
          </cell>
          <cell r="C2142" t="str">
            <v>UN</v>
          </cell>
          <cell r="D2142">
            <v>21.26</v>
          </cell>
        </row>
        <row r="2143">
          <cell r="A2143" t="str">
            <v>164205</v>
          </cell>
          <cell r="B2143" t="str">
            <v>DIAMETRO 300-250 MM</v>
          </cell>
          <cell r="C2143" t="str">
            <v>UN</v>
          </cell>
          <cell r="D2143">
            <v>28</v>
          </cell>
        </row>
        <row r="2144">
          <cell r="A2144" t="str">
            <v>164206</v>
          </cell>
          <cell r="B2144" t="str">
            <v>DIAMETRO 400-300 MM</v>
          </cell>
          <cell r="C2144" t="str">
            <v>UN</v>
          </cell>
          <cell r="D2144">
            <v>39.9</v>
          </cell>
        </row>
        <row r="2145">
          <cell r="A2145" t="str">
            <v>164207</v>
          </cell>
          <cell r="B2145" t="str">
            <v>DIAMETRO 400-350 MM</v>
          </cell>
          <cell r="C2145" t="str">
            <v>UN</v>
          </cell>
          <cell r="D2145">
            <v>43.86</v>
          </cell>
        </row>
        <row r="2146">
          <cell r="A2146" t="str">
            <v>164208</v>
          </cell>
          <cell r="B2146" t="str">
            <v>DIAMETRO 500-400 MM</v>
          </cell>
          <cell r="C2146" t="str">
            <v>UN</v>
          </cell>
          <cell r="D2146">
            <v>54.39</v>
          </cell>
        </row>
        <row r="2147">
          <cell r="A2147" t="str">
            <v>164209</v>
          </cell>
          <cell r="B2147" t="str">
            <v>DIAMETRO 600-500 MM</v>
          </cell>
          <cell r="C2147" t="str">
            <v>UN</v>
          </cell>
          <cell r="D2147">
            <v>72.09</v>
          </cell>
        </row>
        <row r="2148">
          <cell r="A2148" t="str">
            <v>164210</v>
          </cell>
          <cell r="B2148" t="str">
            <v>DIAMETRO 700-600 MM</v>
          </cell>
          <cell r="C2148" t="str">
            <v>UN</v>
          </cell>
          <cell r="D2148">
            <v>94.85</v>
          </cell>
        </row>
        <row r="2149">
          <cell r="A2149" t="str">
            <v>164211</v>
          </cell>
          <cell r="B2149" t="str">
            <v>DIAMETRO 800-700 MM</v>
          </cell>
          <cell r="C2149" t="str">
            <v>UN</v>
          </cell>
          <cell r="D2149">
            <v>127.57</v>
          </cell>
        </row>
        <row r="2150">
          <cell r="A2150" t="str">
            <v>164212</v>
          </cell>
          <cell r="B2150" t="str">
            <v>DIAMETRO 900-800 MM</v>
          </cell>
          <cell r="C2150" t="str">
            <v>UN</v>
          </cell>
          <cell r="D2150">
            <v>162.85</v>
          </cell>
        </row>
        <row r="2151">
          <cell r="A2151" t="str">
            <v>164213</v>
          </cell>
          <cell r="B2151" t="str">
            <v>DIAMETRO 1000-900 MM</v>
          </cell>
          <cell r="C2151" t="str">
            <v>UN</v>
          </cell>
          <cell r="D2151">
            <v>196.57</v>
          </cell>
        </row>
        <row r="2152">
          <cell r="A2152" t="str">
            <v>164214</v>
          </cell>
          <cell r="B2152" t="str">
            <v>DIAMETRO 1200 - 1000 MM</v>
          </cell>
          <cell r="C2152" t="str">
            <v>UN</v>
          </cell>
          <cell r="D2152">
            <v>264.20999999999998</v>
          </cell>
        </row>
        <row r="2154">
          <cell r="A2154" t="str">
            <v>164300</v>
          </cell>
          <cell r="B2154" t="str">
            <v>MONTAGEM DE REDUCOES EXCENTRICAS DE FERRO FUNDIDO  TIPO FF</v>
          </cell>
        </row>
        <row r="2155">
          <cell r="A2155" t="str">
            <v>164301</v>
          </cell>
          <cell r="B2155" t="str">
            <v>DIAMETRO 100-50 MM</v>
          </cell>
          <cell r="C2155" t="str">
            <v>UN</v>
          </cell>
          <cell r="D2155">
            <v>8.24</v>
          </cell>
        </row>
        <row r="2156">
          <cell r="A2156" t="str">
            <v>164302</v>
          </cell>
          <cell r="B2156" t="str">
            <v>DIAMETRO 100-75 MM</v>
          </cell>
          <cell r="C2156" t="str">
            <v>UN</v>
          </cell>
          <cell r="D2156">
            <v>9.1999999999999993</v>
          </cell>
        </row>
        <row r="2157">
          <cell r="A2157" t="str">
            <v>164303</v>
          </cell>
          <cell r="B2157" t="str">
            <v>DIAMETRO 150-75 MM</v>
          </cell>
          <cell r="C2157" t="str">
            <v>UN</v>
          </cell>
          <cell r="D2157">
            <v>10.73</v>
          </cell>
        </row>
        <row r="2158">
          <cell r="A2158" t="str">
            <v>164304</v>
          </cell>
          <cell r="B2158" t="str">
            <v>DIAMETRO 150-100 MM</v>
          </cell>
          <cell r="C2158" t="str">
            <v>UN</v>
          </cell>
          <cell r="D2158">
            <v>13.48</v>
          </cell>
        </row>
        <row r="2159">
          <cell r="A2159" t="str">
            <v>164305</v>
          </cell>
          <cell r="B2159" t="str">
            <v>DIAMETRO 200-100 MM</v>
          </cell>
          <cell r="C2159" t="str">
            <v>UN</v>
          </cell>
          <cell r="D2159">
            <v>15.24</v>
          </cell>
        </row>
        <row r="2160">
          <cell r="A2160" t="str">
            <v>164306</v>
          </cell>
          <cell r="B2160" t="str">
            <v>DIAMETRO 200-150 MM</v>
          </cell>
          <cell r="C2160" t="str">
            <v>UN</v>
          </cell>
          <cell r="D2160">
            <v>17.600000000000001</v>
          </cell>
        </row>
        <row r="2161">
          <cell r="A2161" t="str">
            <v>164307</v>
          </cell>
          <cell r="B2161" t="str">
            <v>DIAMETRO 250-150 MM</v>
          </cell>
          <cell r="C2161" t="str">
            <v>UN</v>
          </cell>
          <cell r="D2161">
            <v>20.73</v>
          </cell>
        </row>
        <row r="2162">
          <cell r="A2162" t="str">
            <v>164308</v>
          </cell>
          <cell r="B2162" t="str">
            <v>DIAMETRO 250-200 MM</v>
          </cell>
          <cell r="C2162" t="str">
            <v>UN</v>
          </cell>
          <cell r="D2162">
            <v>22.18</v>
          </cell>
        </row>
        <row r="2163">
          <cell r="A2163" t="str">
            <v>164309</v>
          </cell>
          <cell r="B2163" t="str">
            <v>DIAMETRO 300-150 MM</v>
          </cell>
          <cell r="C2163" t="str">
            <v>UN</v>
          </cell>
          <cell r="D2163">
            <v>20.399999999999999</v>
          </cell>
        </row>
        <row r="2164">
          <cell r="A2164" t="str">
            <v>164310</v>
          </cell>
          <cell r="B2164" t="str">
            <v>DIAMETRO 300-200 MM</v>
          </cell>
          <cell r="C2164" t="str">
            <v>UN</v>
          </cell>
          <cell r="D2164">
            <v>26.58</v>
          </cell>
        </row>
        <row r="2165">
          <cell r="A2165" t="str">
            <v>164311</v>
          </cell>
          <cell r="B2165" t="str">
            <v>DIAMETRO 300-250 MM</v>
          </cell>
          <cell r="C2165" t="str">
            <v>UN</v>
          </cell>
          <cell r="D2165">
            <v>29.59</v>
          </cell>
        </row>
        <row r="2166">
          <cell r="A2166" t="str">
            <v>164312</v>
          </cell>
          <cell r="B2166" t="str">
            <v>DIAMETRO 400-250 MM</v>
          </cell>
          <cell r="C2166" t="str">
            <v>UN</v>
          </cell>
          <cell r="D2166">
            <v>36.29</v>
          </cell>
        </row>
        <row r="2167">
          <cell r="A2167" t="str">
            <v>164313</v>
          </cell>
          <cell r="B2167" t="str">
            <v>DIAMETRO 400-300 MM</v>
          </cell>
          <cell r="C2167" t="str">
            <v>UN</v>
          </cell>
          <cell r="D2167">
            <v>40.200000000000003</v>
          </cell>
        </row>
        <row r="2169">
          <cell r="A2169" t="str">
            <v>164400</v>
          </cell>
          <cell r="B2169" t="str">
            <v>MONTAGEM DE PLACAS DE REDUCAO DE FERRO FUNDIDO TIPO F</v>
          </cell>
        </row>
        <row r="2170">
          <cell r="A2170" t="str">
            <v>164401</v>
          </cell>
          <cell r="B2170" t="str">
            <v>DIAMETRO 100-50 MM</v>
          </cell>
          <cell r="C2170" t="str">
            <v>UN</v>
          </cell>
          <cell r="D2170">
            <v>7.9</v>
          </cell>
        </row>
        <row r="2171">
          <cell r="A2171" t="str">
            <v>164402</v>
          </cell>
          <cell r="B2171" t="str">
            <v>DIAMETRO 200-75 MM</v>
          </cell>
          <cell r="C2171" t="str">
            <v>UN</v>
          </cell>
          <cell r="D2171">
            <v>11.91</v>
          </cell>
        </row>
        <row r="2172">
          <cell r="A2172" t="str">
            <v>164403</v>
          </cell>
          <cell r="B2172" t="str">
            <v>DIAMETRO 200-100 MM</v>
          </cell>
          <cell r="C2172" t="str">
            <v>UN</v>
          </cell>
          <cell r="D2172">
            <v>13.99</v>
          </cell>
        </row>
        <row r="2173">
          <cell r="A2173" t="str">
            <v>164404</v>
          </cell>
          <cell r="B2173" t="str">
            <v>DIAMETRO 250-200 MM</v>
          </cell>
          <cell r="C2173" t="str">
            <v>UN</v>
          </cell>
          <cell r="D2173">
            <v>21.46</v>
          </cell>
        </row>
        <row r="2174">
          <cell r="A2174" t="str">
            <v>164405</v>
          </cell>
          <cell r="B2174" t="str">
            <v>DIAMETRO 350-150 MM</v>
          </cell>
          <cell r="C2174" t="str">
            <v>UN</v>
          </cell>
          <cell r="D2174">
            <v>26.91</v>
          </cell>
        </row>
        <row r="2175">
          <cell r="A2175" t="str">
            <v>164406</v>
          </cell>
          <cell r="B2175" t="str">
            <v>DIAMETRO 350-250 MM</v>
          </cell>
          <cell r="C2175" t="str">
            <v>UN</v>
          </cell>
          <cell r="D2175">
            <v>30.11</v>
          </cell>
        </row>
        <row r="2176">
          <cell r="A2176" t="str">
            <v>164407</v>
          </cell>
          <cell r="B2176" t="str">
            <v>DIAMETRO 400-150 MM</v>
          </cell>
          <cell r="C2176" t="str">
            <v>UN</v>
          </cell>
          <cell r="D2176">
            <v>29</v>
          </cell>
        </row>
        <row r="2177">
          <cell r="A2177" t="str">
            <v>164408</v>
          </cell>
          <cell r="B2177" t="str">
            <v>DIAMETRO 400-200 MM</v>
          </cell>
          <cell r="C2177" t="str">
            <v>UN</v>
          </cell>
          <cell r="D2177">
            <v>30.55</v>
          </cell>
        </row>
        <row r="2178">
          <cell r="A2178" t="str">
            <v>164409</v>
          </cell>
          <cell r="B2178" t="str">
            <v>DIAMETRO 400-250 MM</v>
          </cell>
          <cell r="C2178" t="str">
            <v>UN</v>
          </cell>
          <cell r="D2178">
            <v>32.89</v>
          </cell>
        </row>
        <row r="2179">
          <cell r="A2179" t="str">
            <v>164410</v>
          </cell>
          <cell r="B2179" t="str">
            <v>DIAMETRO 400-300 MM</v>
          </cell>
          <cell r="C2179" t="str">
            <v>UN</v>
          </cell>
          <cell r="D2179">
            <v>35.97</v>
          </cell>
        </row>
        <row r="2180">
          <cell r="A2180" t="str">
            <v>164411</v>
          </cell>
          <cell r="B2180" t="str">
            <v>DIAMETRO 500-350 MM</v>
          </cell>
          <cell r="C2180" t="str">
            <v>UN</v>
          </cell>
          <cell r="D2180">
            <v>46.33</v>
          </cell>
        </row>
        <row r="2181">
          <cell r="A2181" t="str">
            <v>164412</v>
          </cell>
          <cell r="B2181" t="str">
            <v>DIAMETRO 500-400 MM</v>
          </cell>
          <cell r="C2181" t="str">
            <v>UN</v>
          </cell>
          <cell r="D2181">
            <v>48.07</v>
          </cell>
        </row>
        <row r="2182">
          <cell r="A2182" t="str">
            <v>164413</v>
          </cell>
          <cell r="B2182" t="str">
            <v>DIAMETRO 600-150 MM</v>
          </cell>
          <cell r="C2182" t="str">
            <v>UN</v>
          </cell>
          <cell r="D2182">
            <v>53.66</v>
          </cell>
        </row>
        <row r="2183">
          <cell r="A2183" t="str">
            <v>164414</v>
          </cell>
          <cell r="B2183" t="str">
            <v>DIAMETRO 700-500 MM</v>
          </cell>
          <cell r="C2183" t="str">
            <v>UN</v>
          </cell>
          <cell r="D2183">
            <v>80.45</v>
          </cell>
        </row>
        <row r="2184">
          <cell r="A2184" t="str">
            <v>164415</v>
          </cell>
          <cell r="B2184" t="str">
            <v>DIAMETRO 900-700 MM</v>
          </cell>
          <cell r="C2184" t="str">
            <v>UN</v>
          </cell>
          <cell r="D2184">
            <v>129.02000000000001</v>
          </cell>
        </row>
        <row r="2185">
          <cell r="A2185" t="str">
            <v>164416</v>
          </cell>
          <cell r="B2185" t="str">
            <v>DIAMETRO 1000-700 MM</v>
          </cell>
          <cell r="C2185" t="str">
            <v>UN</v>
          </cell>
          <cell r="D2185">
            <v>152.91999999999999</v>
          </cell>
        </row>
        <row r="2186">
          <cell r="A2186" t="str">
            <v>164417</v>
          </cell>
          <cell r="B2186" t="str">
            <v>DIAMETRO 1000-800 MM</v>
          </cell>
          <cell r="C2186" t="str">
            <v>UN</v>
          </cell>
          <cell r="D2186">
            <v>165.47</v>
          </cell>
        </row>
        <row r="2188">
          <cell r="A2188" t="str">
            <v>164500</v>
          </cell>
          <cell r="B2188" t="str">
            <v>MONTAGEM DE TOCOS DE DE FERRO FUNDIDO L=0,25 M TIPO FF</v>
          </cell>
        </row>
        <row r="2189">
          <cell r="A2189" t="str">
            <v>164501</v>
          </cell>
          <cell r="B2189" t="str">
            <v>DIAMETRO 100 MM</v>
          </cell>
          <cell r="C2189" t="str">
            <v>UN</v>
          </cell>
          <cell r="D2189">
            <v>10.64</v>
          </cell>
        </row>
        <row r="2190">
          <cell r="A2190" t="str">
            <v>164502</v>
          </cell>
          <cell r="B2190" t="str">
            <v>DIAMETRO 150 MM</v>
          </cell>
          <cell r="C2190" t="str">
            <v>UN</v>
          </cell>
          <cell r="D2190">
            <v>15.34</v>
          </cell>
        </row>
        <row r="2191">
          <cell r="A2191" t="str">
            <v>164503</v>
          </cell>
          <cell r="B2191" t="str">
            <v>DIAMETRO 200 MM</v>
          </cell>
          <cell r="C2191" t="str">
            <v>UN</v>
          </cell>
          <cell r="D2191">
            <v>18.920000000000002</v>
          </cell>
        </row>
        <row r="2192">
          <cell r="A2192" t="str">
            <v>164504</v>
          </cell>
          <cell r="B2192" t="str">
            <v>DIAMETRO 250 MM</v>
          </cell>
          <cell r="C2192" t="str">
            <v>UN</v>
          </cell>
          <cell r="D2192">
            <v>24.96</v>
          </cell>
        </row>
        <row r="2193">
          <cell r="A2193" t="str">
            <v>164505</v>
          </cell>
          <cell r="B2193" t="str">
            <v>DIAMETRO 300 MM</v>
          </cell>
          <cell r="C2193" t="str">
            <v>UN</v>
          </cell>
          <cell r="D2193">
            <v>32.659999999999997</v>
          </cell>
        </row>
        <row r="2194">
          <cell r="A2194" t="str">
            <v>164506</v>
          </cell>
          <cell r="B2194" t="str">
            <v>DIAMETRO 400 MM</v>
          </cell>
          <cell r="C2194" t="str">
            <v>UN</v>
          </cell>
          <cell r="D2194">
            <v>45.51</v>
          </cell>
        </row>
        <row r="2195">
          <cell r="A2195" t="str">
            <v>164507</v>
          </cell>
          <cell r="B2195" t="str">
            <v>DIAMETRO 500 MM</v>
          </cell>
          <cell r="C2195" t="str">
            <v>UN</v>
          </cell>
          <cell r="D2195">
            <v>60.52</v>
          </cell>
        </row>
        <row r="2196">
          <cell r="A2196" t="str">
            <v>164508</v>
          </cell>
          <cell r="B2196" t="str">
            <v>DIAMETRO 600 MM</v>
          </cell>
          <cell r="C2196" t="str">
            <v>UN</v>
          </cell>
          <cell r="D2196">
            <v>80.819999999999993</v>
          </cell>
        </row>
        <row r="2197">
          <cell r="A2197" t="str">
            <v>164509</v>
          </cell>
          <cell r="B2197" t="str">
            <v>DIAMETRO 700 MM</v>
          </cell>
          <cell r="C2197" t="str">
            <v>UN</v>
          </cell>
          <cell r="D2197">
            <v>106.93</v>
          </cell>
        </row>
        <row r="2198">
          <cell r="A2198" t="str">
            <v>164510</v>
          </cell>
          <cell r="B2198" t="str">
            <v>DIAMETRO 800 MM</v>
          </cell>
          <cell r="C2198" t="str">
            <v>UN</v>
          </cell>
          <cell r="D2198">
            <v>147.29</v>
          </cell>
        </row>
        <row r="2199">
          <cell r="A2199" t="str">
            <v>164511</v>
          </cell>
          <cell r="B2199" t="str">
            <v>DIAMETRO 900 MM</v>
          </cell>
          <cell r="C2199" t="str">
            <v>UN</v>
          </cell>
          <cell r="D2199">
            <v>179.88</v>
          </cell>
        </row>
        <row r="2200">
          <cell r="A2200" t="str">
            <v>164512</v>
          </cell>
          <cell r="B2200" t="str">
            <v>DIAMETRO 1000 MM</v>
          </cell>
          <cell r="C2200" t="str">
            <v>UN</v>
          </cell>
          <cell r="D2200">
            <v>216.19</v>
          </cell>
        </row>
        <row r="2202">
          <cell r="A2202" t="str">
            <v>164600</v>
          </cell>
          <cell r="B2202" t="str">
            <v>MONTAGEM DE TOCOS DE FERRO FUNDIDO L=0,50 M TIPO FF</v>
          </cell>
        </row>
        <row r="2203">
          <cell r="A2203" t="str">
            <v>164601</v>
          </cell>
          <cell r="B2203" t="str">
            <v>DIAMETRO 100 MM</v>
          </cell>
          <cell r="C2203" t="str">
            <v>UN</v>
          </cell>
          <cell r="D2203">
            <v>11.02</v>
          </cell>
        </row>
        <row r="2204">
          <cell r="A2204" t="str">
            <v>164602</v>
          </cell>
          <cell r="B2204" t="str">
            <v>DIAMETRO 150 MM</v>
          </cell>
          <cell r="C2204" t="str">
            <v>UN</v>
          </cell>
          <cell r="D2204">
            <v>15.97</v>
          </cell>
        </row>
        <row r="2205">
          <cell r="A2205" t="str">
            <v>164603</v>
          </cell>
          <cell r="B2205" t="str">
            <v>DIAMETRO 200 MM</v>
          </cell>
          <cell r="C2205" t="str">
            <v>UN</v>
          </cell>
          <cell r="D2205">
            <v>19.87</v>
          </cell>
        </row>
        <row r="2206">
          <cell r="A2206" t="str">
            <v>164604</v>
          </cell>
          <cell r="B2206" t="str">
            <v>DIAMETRO 250 MM</v>
          </cell>
          <cell r="C2206" t="str">
            <v>UN</v>
          </cell>
          <cell r="D2206">
            <v>26.41</v>
          </cell>
        </row>
        <row r="2207">
          <cell r="A2207" t="str">
            <v>164605</v>
          </cell>
          <cell r="B2207" t="str">
            <v>DIAMETRO 300 MM</v>
          </cell>
          <cell r="C2207" t="str">
            <v>UN</v>
          </cell>
          <cell r="D2207">
            <v>34.590000000000003</v>
          </cell>
        </row>
        <row r="2208">
          <cell r="A2208" t="str">
            <v>164606</v>
          </cell>
          <cell r="B2208" t="str">
            <v>DIAMETRO 400 MM</v>
          </cell>
          <cell r="C2208" t="str">
            <v>UN</v>
          </cell>
          <cell r="D2208">
            <v>48.51</v>
          </cell>
        </row>
        <row r="2209">
          <cell r="A2209" t="str">
            <v>164607</v>
          </cell>
          <cell r="B2209" t="str">
            <v>DIAMETRO 500 MM</v>
          </cell>
          <cell r="C2209" t="str">
            <v>UN</v>
          </cell>
          <cell r="D2209">
            <v>64.95</v>
          </cell>
        </row>
        <row r="2210">
          <cell r="A2210" t="str">
            <v>164608</v>
          </cell>
          <cell r="B2210" t="str">
            <v>DIAMETRO 600 MM</v>
          </cell>
          <cell r="C2210" t="str">
            <v>UN</v>
          </cell>
          <cell r="D2210">
            <v>86.95</v>
          </cell>
        </row>
        <row r="2211">
          <cell r="A2211" t="str">
            <v>164609</v>
          </cell>
          <cell r="B2211" t="str">
            <v>DIAMETRO 700 MM</v>
          </cell>
          <cell r="C2211" t="str">
            <v>UN</v>
          </cell>
          <cell r="D2211">
            <v>115.35</v>
          </cell>
        </row>
        <row r="2212">
          <cell r="A2212" t="str">
            <v>164610</v>
          </cell>
          <cell r="B2212" t="str">
            <v>DIAMETRO 800 MM</v>
          </cell>
          <cell r="C2212" t="str">
            <v>UN</v>
          </cell>
          <cell r="D2212">
            <v>157.47999999999999</v>
          </cell>
        </row>
        <row r="2213">
          <cell r="A2213" t="str">
            <v>164611</v>
          </cell>
          <cell r="B2213" t="str">
            <v>DIAMETRO 900 MM</v>
          </cell>
          <cell r="C2213" t="str">
            <v>UN</v>
          </cell>
          <cell r="D2213">
            <v>192.19</v>
          </cell>
        </row>
        <row r="2214">
          <cell r="A2214" t="str">
            <v>164612</v>
          </cell>
          <cell r="B2214" t="str">
            <v>DIAMETRO 1000 MM</v>
          </cell>
          <cell r="C2214" t="str">
            <v>UN</v>
          </cell>
          <cell r="D2214">
            <v>230.86</v>
          </cell>
        </row>
        <row r="2216">
          <cell r="A2216" t="str">
            <v>164700</v>
          </cell>
          <cell r="B2216" t="str">
            <v>MONTAGEM DE JUNCOES 45 GR DE FERRO FUNDIDO TIPO FFF</v>
          </cell>
        </row>
        <row r="2217">
          <cell r="A2217" t="str">
            <v>164701</v>
          </cell>
          <cell r="B2217" t="str">
            <v>DIAMETRO 100-75 MM</v>
          </cell>
          <cell r="C2217" t="str">
            <v>UN</v>
          </cell>
          <cell r="D2217">
            <v>13.87</v>
          </cell>
        </row>
        <row r="2218">
          <cell r="A2218" t="str">
            <v>164702</v>
          </cell>
          <cell r="B2218" t="str">
            <v>DIAMETRO 100-100 MM</v>
          </cell>
          <cell r="C2218" t="str">
            <v>UN</v>
          </cell>
          <cell r="D2218">
            <v>15.98</v>
          </cell>
        </row>
        <row r="2219">
          <cell r="A2219" t="str">
            <v>164703</v>
          </cell>
          <cell r="B2219" t="str">
            <v>DIAMETRO 150-100 MM</v>
          </cell>
          <cell r="C2219" t="str">
            <v>UN</v>
          </cell>
          <cell r="D2219">
            <v>20.88</v>
          </cell>
        </row>
        <row r="2220">
          <cell r="A2220" t="str">
            <v>164704</v>
          </cell>
          <cell r="B2220" t="str">
            <v>DIAMETRO 150-150 MM</v>
          </cell>
          <cell r="C2220" t="str">
            <v>UN</v>
          </cell>
          <cell r="D2220">
            <v>23</v>
          </cell>
        </row>
        <row r="2221">
          <cell r="A2221" t="str">
            <v>164705</v>
          </cell>
          <cell r="B2221" t="str">
            <v>DIAMETRO 200-100 MM</v>
          </cell>
          <cell r="C2221" t="str">
            <v>UN</v>
          </cell>
          <cell r="D2221">
            <v>19.88</v>
          </cell>
        </row>
        <row r="2222">
          <cell r="A2222" t="str">
            <v>164706</v>
          </cell>
          <cell r="B2222" t="str">
            <v>DIAMETRO 200-150 MM</v>
          </cell>
          <cell r="C2222" t="str">
            <v>UN</v>
          </cell>
          <cell r="D2222">
            <v>27.22</v>
          </cell>
        </row>
        <row r="2223">
          <cell r="A2223" t="str">
            <v>164707</v>
          </cell>
          <cell r="B2223" t="str">
            <v>DIAMETRO 200-200 MM</v>
          </cell>
          <cell r="C2223" t="str">
            <v>UN</v>
          </cell>
          <cell r="D2223">
            <v>29</v>
          </cell>
        </row>
        <row r="2224">
          <cell r="A2224" t="str">
            <v>164708</v>
          </cell>
          <cell r="B2224" t="str">
            <v>DIAMETRO 250-150 MM</v>
          </cell>
          <cell r="C2224" t="str">
            <v>UN</v>
          </cell>
          <cell r="D2224">
            <v>34.270000000000003</v>
          </cell>
        </row>
        <row r="2225">
          <cell r="A2225" t="str">
            <v>164709</v>
          </cell>
          <cell r="B2225" t="str">
            <v>DIAMETRO 250-200 MM</v>
          </cell>
          <cell r="C2225" t="str">
            <v>UN</v>
          </cell>
          <cell r="D2225">
            <v>36</v>
          </cell>
        </row>
        <row r="2226">
          <cell r="A2226" t="str">
            <v>164710</v>
          </cell>
          <cell r="B2226" t="str">
            <v>DIAMETRO 250-250 MM</v>
          </cell>
          <cell r="C2226" t="str">
            <v>UN</v>
          </cell>
          <cell r="D2226">
            <v>38.79</v>
          </cell>
        </row>
        <row r="2227">
          <cell r="A2227" t="str">
            <v>164711</v>
          </cell>
          <cell r="B2227" t="str">
            <v>DIAMETRO 300-200 MM</v>
          </cell>
          <cell r="C2227" t="str">
            <v>UN</v>
          </cell>
          <cell r="D2227">
            <v>45.27</v>
          </cell>
        </row>
        <row r="2228">
          <cell r="A2228" t="str">
            <v>164712</v>
          </cell>
          <cell r="B2228" t="str">
            <v>DIAMETRO 300-300 MM</v>
          </cell>
          <cell r="C2228" t="str">
            <v>UN</v>
          </cell>
          <cell r="D2228">
            <v>51.61</v>
          </cell>
        </row>
        <row r="2229">
          <cell r="A2229" t="str">
            <v>164713</v>
          </cell>
          <cell r="B2229" t="str">
            <v>DIAMETRO 400-300 MM</v>
          </cell>
          <cell r="C2229" t="str">
            <v>UN</v>
          </cell>
          <cell r="D2229">
            <v>67.790000000000006</v>
          </cell>
        </row>
        <row r="2230">
          <cell r="A2230" t="str">
            <v>164714</v>
          </cell>
          <cell r="B2230" t="str">
            <v>DIAMETRO 400-400 MM</v>
          </cell>
          <cell r="C2230" t="str">
            <v>UN</v>
          </cell>
          <cell r="D2230">
            <v>73.010000000000005</v>
          </cell>
        </row>
        <row r="2232">
          <cell r="A2232" t="str">
            <v>164800</v>
          </cell>
          <cell r="B2232" t="str">
            <v>MONTAGEM DE FLANGES CEGOS DE FERRO FUNDIDO</v>
          </cell>
        </row>
        <row r="2233">
          <cell r="A2233" t="str">
            <v>164801</v>
          </cell>
          <cell r="B2233" t="str">
            <v>DIAMETRO 100 MM</v>
          </cell>
          <cell r="C2233" t="str">
            <v>UN</v>
          </cell>
          <cell r="D2233">
            <v>5.08</v>
          </cell>
        </row>
        <row r="2234">
          <cell r="A2234" t="str">
            <v>164802</v>
          </cell>
          <cell r="B2234" t="str">
            <v>DIAMETRO 150 MM</v>
          </cell>
          <cell r="C2234" t="str">
            <v>UN</v>
          </cell>
          <cell r="D2234">
            <v>7.2</v>
          </cell>
        </row>
        <row r="2235">
          <cell r="A2235" t="str">
            <v>164803</v>
          </cell>
          <cell r="B2235" t="str">
            <v>DIAMETRO 200 MM</v>
          </cell>
          <cell r="C2235" t="str">
            <v>UN</v>
          </cell>
          <cell r="D2235">
            <v>9</v>
          </cell>
        </row>
        <row r="2236">
          <cell r="A2236" t="str">
            <v>164804</v>
          </cell>
          <cell r="B2236" t="str">
            <v>DIAMETRO 250 MM</v>
          </cell>
          <cell r="C2236" t="str">
            <v>UN</v>
          </cell>
          <cell r="D2236">
            <v>12.02</v>
          </cell>
        </row>
        <row r="2237">
          <cell r="A2237" t="str">
            <v>164805</v>
          </cell>
          <cell r="B2237" t="str">
            <v>DIAMETRO 300 MM</v>
          </cell>
          <cell r="C2237" t="str">
            <v>UN</v>
          </cell>
          <cell r="D2237">
            <v>15.93</v>
          </cell>
        </row>
        <row r="2238">
          <cell r="A2238" t="str">
            <v>164806</v>
          </cell>
          <cell r="B2238" t="str">
            <v>DIAMETRO 400 MM</v>
          </cell>
          <cell r="C2238" t="str">
            <v>UN</v>
          </cell>
          <cell r="D2238">
            <v>22.03</v>
          </cell>
        </row>
        <row r="2239">
          <cell r="A2239" t="str">
            <v>164807</v>
          </cell>
          <cell r="B2239" t="str">
            <v>DIAMETRO 500 MM</v>
          </cell>
          <cell r="C2239" t="str">
            <v>UN</v>
          </cell>
          <cell r="D2239">
            <v>30</v>
          </cell>
        </row>
        <row r="2240">
          <cell r="A2240" t="str">
            <v>164808</v>
          </cell>
          <cell r="B2240" t="str">
            <v>DIAMETRO 600 MM</v>
          </cell>
          <cell r="C2240" t="str">
            <v>UN</v>
          </cell>
          <cell r="D2240">
            <v>40.68</v>
          </cell>
        </row>
        <row r="2241">
          <cell r="A2241" t="str">
            <v>164809</v>
          </cell>
          <cell r="B2241" t="str">
            <v>DIAMETRO 700 MM</v>
          </cell>
          <cell r="C2241" t="str">
            <v>UN</v>
          </cell>
          <cell r="D2241">
            <v>55.12</v>
          </cell>
        </row>
        <row r="2242">
          <cell r="A2242" t="str">
            <v>164810</v>
          </cell>
          <cell r="B2242" t="str">
            <v>DIAMETRO 800 MM</v>
          </cell>
          <cell r="C2242" t="str">
            <v>UN</v>
          </cell>
          <cell r="D2242">
            <v>78.25</v>
          </cell>
        </row>
        <row r="2243">
          <cell r="A2243" t="str">
            <v>164811</v>
          </cell>
          <cell r="B2243" t="str">
            <v>DIAMETRO 900 MM</v>
          </cell>
          <cell r="C2243" t="str">
            <v>UN</v>
          </cell>
          <cell r="D2243">
            <v>97.07</v>
          </cell>
        </row>
        <row r="2244">
          <cell r="A2244" t="str">
            <v>164812</v>
          </cell>
          <cell r="B2244" t="str">
            <v>DIAMETRO 1000 MM</v>
          </cell>
          <cell r="C2244" t="str">
            <v>UN</v>
          </cell>
          <cell r="D2244">
            <v>120.72</v>
          </cell>
        </row>
        <row r="2246">
          <cell r="A2246" t="str">
            <v>164900</v>
          </cell>
          <cell r="B2246" t="str">
            <v>MONTAGEM DE REGISTROS DE FERRO FUNDIDO FLANGEADOS</v>
          </cell>
        </row>
        <row r="2247">
          <cell r="A2247" t="str">
            <v>164901</v>
          </cell>
          <cell r="B2247" t="str">
            <v>DIAMETRO 100 MM</v>
          </cell>
          <cell r="C2247" t="str">
            <v>UN</v>
          </cell>
          <cell r="D2247">
            <v>13.72</v>
          </cell>
        </row>
        <row r="2248">
          <cell r="A2248" t="str">
            <v>164902</v>
          </cell>
          <cell r="B2248" t="str">
            <v>DIAMETRO 150 MM</v>
          </cell>
          <cell r="C2248" t="str">
            <v>UN</v>
          </cell>
          <cell r="D2248">
            <v>19.45</v>
          </cell>
        </row>
        <row r="2249">
          <cell r="A2249" t="str">
            <v>164903</v>
          </cell>
          <cell r="B2249" t="str">
            <v>DIAMETRO 200 MM</v>
          </cell>
          <cell r="C2249" t="str">
            <v>UN</v>
          </cell>
          <cell r="D2249">
            <v>25.17</v>
          </cell>
        </row>
        <row r="2250">
          <cell r="A2250" t="str">
            <v>164904</v>
          </cell>
          <cell r="B2250" t="str">
            <v>DIAMETRO 250 MM</v>
          </cell>
          <cell r="C2250" t="str">
            <v>UN</v>
          </cell>
          <cell r="D2250">
            <v>34.54</v>
          </cell>
        </row>
        <row r="2251">
          <cell r="A2251" t="str">
            <v>164905</v>
          </cell>
          <cell r="B2251" t="str">
            <v>DIAMETRO 300 MM</v>
          </cell>
          <cell r="C2251" t="str">
            <v>UN</v>
          </cell>
          <cell r="D2251">
            <v>45.31</v>
          </cell>
        </row>
        <row r="2252">
          <cell r="A2252" t="str">
            <v>164906</v>
          </cell>
          <cell r="B2252" t="str">
            <v>DIAMETRO 350 MM</v>
          </cell>
          <cell r="C2252" t="str">
            <v>UN</v>
          </cell>
          <cell r="D2252">
            <v>57.65</v>
          </cell>
        </row>
        <row r="2253">
          <cell r="A2253" t="str">
            <v>164907</v>
          </cell>
          <cell r="B2253" t="str">
            <v>DIAMETRO 400 MM</v>
          </cell>
          <cell r="C2253" t="str">
            <v>UN</v>
          </cell>
          <cell r="D2253">
            <v>69.27</v>
          </cell>
        </row>
        <row r="2254">
          <cell r="A2254" t="str">
            <v>164908</v>
          </cell>
          <cell r="B2254" t="str">
            <v>DIAMETRO 450 MM</v>
          </cell>
          <cell r="C2254" t="str">
            <v>UN</v>
          </cell>
          <cell r="D2254">
            <v>86.5</v>
          </cell>
        </row>
        <row r="2255">
          <cell r="A2255" t="str">
            <v>164909</v>
          </cell>
          <cell r="B2255" t="str">
            <v>DIAMETRO 500 MM</v>
          </cell>
          <cell r="C2255" t="str">
            <v>UN</v>
          </cell>
          <cell r="D2255">
            <v>94.84</v>
          </cell>
        </row>
        <row r="2256">
          <cell r="A2256" t="str">
            <v>164910</v>
          </cell>
          <cell r="B2256" t="str">
            <v>DIAMETRO 600 MM</v>
          </cell>
          <cell r="C2256" t="str">
            <v>UN</v>
          </cell>
          <cell r="D2256">
            <v>133.33000000000001</v>
          </cell>
        </row>
        <row r="2257">
          <cell r="A2257" t="str">
            <v>164911</v>
          </cell>
          <cell r="B2257" t="str">
            <v>DIAMETRO 700 MM</v>
          </cell>
          <cell r="C2257" t="str">
            <v>UN</v>
          </cell>
          <cell r="D2257">
            <v>192.71</v>
          </cell>
        </row>
        <row r="2258">
          <cell r="A2258" t="str">
            <v>164912</v>
          </cell>
          <cell r="B2258" t="str">
            <v>DIAMETRO 800 MM</v>
          </cell>
          <cell r="C2258" t="str">
            <v>UN</v>
          </cell>
          <cell r="D2258">
            <v>248.33</v>
          </cell>
        </row>
        <row r="2259">
          <cell r="A2259" t="str">
            <v>164913</v>
          </cell>
          <cell r="B2259" t="str">
            <v>DIAMETRO 900 MM</v>
          </cell>
          <cell r="C2259" t="str">
            <v>UN</v>
          </cell>
          <cell r="D2259">
            <v>324.99</v>
          </cell>
        </row>
        <row r="2260">
          <cell r="A2260" t="str">
            <v>164914</v>
          </cell>
          <cell r="B2260" t="str">
            <v>DIAMETRO 1000 MM</v>
          </cell>
          <cell r="C2260" t="str">
            <v>UN</v>
          </cell>
          <cell r="D2260">
            <v>405.71</v>
          </cell>
        </row>
        <row r="2261">
          <cell r="A2261" t="str">
            <v>164915</v>
          </cell>
          <cell r="B2261" t="str">
            <v>DIAMETRO 1200 MM</v>
          </cell>
          <cell r="C2261" t="str">
            <v>UN</v>
          </cell>
          <cell r="D2261">
            <v>627.85</v>
          </cell>
        </row>
        <row r="2263">
          <cell r="A2263" t="str">
            <v>165000</v>
          </cell>
          <cell r="B2263" t="str">
            <v>MONTAGEM DE VALVULAS BORBOLETA DE FERRO FUNDIDO FLANGEADOS COMANDO MANUAL</v>
          </cell>
        </row>
        <row r="2264">
          <cell r="A2264" t="str">
            <v>165001</v>
          </cell>
          <cell r="B2264" t="str">
            <v>DIAMETRO 400 MM</v>
          </cell>
          <cell r="C2264" t="str">
            <v>UN</v>
          </cell>
          <cell r="D2264">
            <v>52.81</v>
          </cell>
        </row>
        <row r="2265">
          <cell r="A2265" t="str">
            <v>165002</v>
          </cell>
          <cell r="B2265" t="str">
            <v>DIAMETRO 500 MM</v>
          </cell>
          <cell r="C2265" t="str">
            <v>UN</v>
          </cell>
          <cell r="D2265">
            <v>48.99</v>
          </cell>
        </row>
        <row r="2266">
          <cell r="A2266" t="str">
            <v>165003</v>
          </cell>
          <cell r="B2266" t="str">
            <v>DIAMETRO 600 MM</v>
          </cell>
          <cell r="C2266" t="str">
            <v>UN</v>
          </cell>
          <cell r="D2266">
            <v>91.15</v>
          </cell>
        </row>
        <row r="2267">
          <cell r="A2267" t="str">
            <v>165004</v>
          </cell>
          <cell r="B2267" t="str">
            <v>DIAMETRO 700 MM</v>
          </cell>
          <cell r="C2267" t="str">
            <v>UN</v>
          </cell>
          <cell r="D2267">
            <v>115.9</v>
          </cell>
        </row>
        <row r="2268">
          <cell r="A2268" t="str">
            <v>165005</v>
          </cell>
          <cell r="B2268" t="str">
            <v>DIAMETRO 800 MM</v>
          </cell>
          <cell r="C2268" t="str">
            <v>UN</v>
          </cell>
          <cell r="D2268">
            <v>169.65</v>
          </cell>
        </row>
        <row r="2269">
          <cell r="A2269" t="str">
            <v>165006</v>
          </cell>
          <cell r="B2269" t="str">
            <v>DIAMETRO 900 MM</v>
          </cell>
          <cell r="C2269" t="str">
            <v>UN</v>
          </cell>
          <cell r="D2269">
            <v>202.99</v>
          </cell>
        </row>
        <row r="2270">
          <cell r="A2270" t="str">
            <v>165007</v>
          </cell>
          <cell r="B2270" t="str">
            <v>DIAMETRO 1000 MM</v>
          </cell>
          <cell r="C2270" t="str">
            <v>UN</v>
          </cell>
          <cell r="D2270">
            <v>241.18</v>
          </cell>
        </row>
        <row r="2271">
          <cell r="A2271" t="str">
            <v>165008</v>
          </cell>
          <cell r="B2271" t="str">
            <v>DIAMETRO 1200 MM</v>
          </cell>
          <cell r="C2271" t="str">
            <v>UN</v>
          </cell>
          <cell r="D2271">
            <v>315.58999999999997</v>
          </cell>
        </row>
        <row r="2273">
          <cell r="A2273" t="str">
            <v>165100</v>
          </cell>
          <cell r="B2273" t="str">
            <v>MONTAGEM DE REGISTROS DE FERRO FUNDIDO FLANGEADOS COMANDO ELETRICO/PNEUMATICO</v>
          </cell>
        </row>
        <row r="2274">
          <cell r="A2274" t="str">
            <v>165101</v>
          </cell>
          <cell r="B2274" t="str">
            <v>DIAMETRO 100 MM</v>
          </cell>
          <cell r="C2274" t="str">
            <v>UN</v>
          </cell>
          <cell r="D2274">
            <v>16.61</v>
          </cell>
        </row>
        <row r="2275">
          <cell r="A2275" t="str">
            <v>165102</v>
          </cell>
          <cell r="B2275" t="str">
            <v>DIAMETRO 150 MM</v>
          </cell>
          <cell r="C2275" t="str">
            <v>UN</v>
          </cell>
          <cell r="D2275">
            <v>23.12</v>
          </cell>
        </row>
        <row r="2276">
          <cell r="A2276" t="str">
            <v>165103</v>
          </cell>
          <cell r="B2276" t="str">
            <v>DIAMETRO 200 MM</v>
          </cell>
          <cell r="C2276" t="str">
            <v>UN</v>
          </cell>
          <cell r="D2276">
            <v>30.32</v>
          </cell>
        </row>
        <row r="2277">
          <cell r="A2277" t="str">
            <v>165104</v>
          </cell>
          <cell r="B2277" t="str">
            <v>DIAMETRO 250 MM</v>
          </cell>
          <cell r="C2277" t="str">
            <v>UN</v>
          </cell>
          <cell r="D2277">
            <v>40.61</v>
          </cell>
        </row>
        <row r="2278">
          <cell r="A2278" t="str">
            <v>165105</v>
          </cell>
          <cell r="B2278" t="str">
            <v>DIAMETRO 300 MM</v>
          </cell>
          <cell r="C2278" t="str">
            <v>UN</v>
          </cell>
          <cell r="D2278">
            <v>52.74</v>
          </cell>
        </row>
        <row r="2279">
          <cell r="A2279" t="str">
            <v>165106</v>
          </cell>
          <cell r="B2279" t="str">
            <v>DIAMETRO 350 MM</v>
          </cell>
          <cell r="C2279" t="str">
            <v>UN</v>
          </cell>
          <cell r="D2279">
            <v>65.739999999999995</v>
          </cell>
        </row>
        <row r="2280">
          <cell r="A2280" t="str">
            <v>165107</v>
          </cell>
          <cell r="B2280" t="str">
            <v>DIAMETRO 400 MM</v>
          </cell>
          <cell r="C2280" t="str">
            <v>UN</v>
          </cell>
          <cell r="D2280">
            <v>80.25</v>
          </cell>
        </row>
        <row r="2281">
          <cell r="A2281" t="str">
            <v>165108</v>
          </cell>
          <cell r="B2281" t="str">
            <v>DIAMETRO 450 MM</v>
          </cell>
          <cell r="C2281" t="str">
            <v>UN</v>
          </cell>
          <cell r="D2281">
            <v>101.94</v>
          </cell>
        </row>
        <row r="2282">
          <cell r="A2282" t="str">
            <v>165109</v>
          </cell>
          <cell r="B2282" t="str">
            <v>DIAMETRO 500 MM</v>
          </cell>
          <cell r="C2282" t="str">
            <v>UN</v>
          </cell>
          <cell r="D2282">
            <v>114.18</v>
          </cell>
        </row>
        <row r="2283">
          <cell r="A2283" t="str">
            <v>165110</v>
          </cell>
          <cell r="B2283" t="str">
            <v>DIAMETRO 600 MM</v>
          </cell>
          <cell r="C2283" t="str">
            <v>UN</v>
          </cell>
          <cell r="D2283">
            <v>151.85</v>
          </cell>
        </row>
        <row r="2284">
          <cell r="A2284" t="str">
            <v>165111</v>
          </cell>
          <cell r="B2284" t="str">
            <v>DIAMETRO 700 MM</v>
          </cell>
          <cell r="C2284" t="str">
            <v>UN</v>
          </cell>
          <cell r="D2284">
            <v>206.77</v>
          </cell>
        </row>
        <row r="2285">
          <cell r="A2285" t="str">
            <v>165112</v>
          </cell>
          <cell r="B2285" t="str">
            <v>DIAMETRO 800 MM</v>
          </cell>
          <cell r="C2285" t="str">
            <v>UN</v>
          </cell>
          <cell r="D2285">
            <v>264.94</v>
          </cell>
        </row>
        <row r="2286">
          <cell r="A2286" t="str">
            <v>165113</v>
          </cell>
          <cell r="B2286" t="str">
            <v>DIAMETRO 900 MM</v>
          </cell>
          <cell r="C2286" t="str">
            <v>UN</v>
          </cell>
          <cell r="D2286">
            <v>336.91</v>
          </cell>
        </row>
        <row r="2287">
          <cell r="A2287" t="str">
            <v>165114</v>
          </cell>
          <cell r="B2287" t="str">
            <v>DIAMETRO 1000 MM</v>
          </cell>
          <cell r="C2287" t="str">
            <v>UN</v>
          </cell>
          <cell r="D2287">
            <v>415.42</v>
          </cell>
        </row>
        <row r="2288">
          <cell r="A2288" t="str">
            <v>165115</v>
          </cell>
          <cell r="B2288" t="str">
            <v>DIAMETRO 1200 MM</v>
          </cell>
          <cell r="C2288" t="str">
            <v>UN</v>
          </cell>
          <cell r="D2288">
            <v>645.66</v>
          </cell>
        </row>
        <row r="2290">
          <cell r="A2290" t="str">
            <v>165200</v>
          </cell>
          <cell r="B2290" t="str">
            <v>MONTAGEM DE VALVULAS BORBOLETA DE FERRO FUNDIDO FLANGEADOS COMANDO ELETRICO/PNEUMATICO</v>
          </cell>
        </row>
        <row r="2291">
          <cell r="A2291" t="str">
            <v>165201</v>
          </cell>
          <cell r="B2291" t="str">
            <v>DIAMETRO 400 MM</v>
          </cell>
          <cell r="C2291" t="str">
            <v>UN</v>
          </cell>
          <cell r="D2291">
            <v>63.78</v>
          </cell>
        </row>
        <row r="2292">
          <cell r="A2292" t="str">
            <v>165202</v>
          </cell>
          <cell r="B2292" t="str">
            <v>DIAMETRO 500 MM</v>
          </cell>
          <cell r="C2292" t="str">
            <v>UN</v>
          </cell>
          <cell r="D2292">
            <v>89.03</v>
          </cell>
        </row>
        <row r="2293">
          <cell r="A2293" t="str">
            <v>165203</v>
          </cell>
          <cell r="B2293" t="str">
            <v>DIAMETRO 600 MM</v>
          </cell>
          <cell r="C2293" t="str">
            <v>UN</v>
          </cell>
          <cell r="D2293">
            <v>114.38</v>
          </cell>
        </row>
        <row r="2294">
          <cell r="A2294" t="str">
            <v>165204</v>
          </cell>
          <cell r="B2294" t="str">
            <v>DIAMETRO 700 MM</v>
          </cell>
          <cell r="C2294" t="str">
            <v>UN</v>
          </cell>
          <cell r="D2294">
            <v>143.75</v>
          </cell>
        </row>
        <row r="2295">
          <cell r="A2295" t="str">
            <v>165205</v>
          </cell>
          <cell r="B2295" t="str">
            <v>DIAMETRO 800 MM</v>
          </cell>
          <cell r="C2295" t="str">
            <v>UN</v>
          </cell>
          <cell r="D2295">
            <v>203.06</v>
          </cell>
        </row>
        <row r="2296">
          <cell r="A2296" t="str">
            <v>165206</v>
          </cell>
          <cell r="B2296" t="str">
            <v>DIAMETRO 900 MM</v>
          </cell>
          <cell r="C2296" t="str">
            <v>UN</v>
          </cell>
          <cell r="D2296">
            <v>300.61</v>
          </cell>
        </row>
        <row r="2297">
          <cell r="A2297" t="str">
            <v>165207</v>
          </cell>
          <cell r="B2297" t="str">
            <v>DIAMETRO 1000 MM</v>
          </cell>
          <cell r="C2297" t="str">
            <v>UN</v>
          </cell>
          <cell r="D2297">
            <v>364.64</v>
          </cell>
        </row>
        <row r="2298">
          <cell r="A2298" t="str">
            <v>165208</v>
          </cell>
          <cell r="B2298" t="str">
            <v>DIAMETRO 1200 MM</v>
          </cell>
          <cell r="C2298" t="str">
            <v>UN</v>
          </cell>
          <cell r="D2298">
            <v>607.05999999999995</v>
          </cell>
        </row>
        <row r="2300">
          <cell r="A2300" t="str">
            <v>165300</v>
          </cell>
          <cell r="B2300" t="str">
            <v>MONTAGEM DE VENTOSAS SIMPLES FLANGEADAS</v>
          </cell>
        </row>
        <row r="2301">
          <cell r="A2301" t="str">
            <v>165301</v>
          </cell>
          <cell r="B2301" t="str">
            <v>DIAMETRO 50 MM</v>
          </cell>
          <cell r="C2301" t="str">
            <v>UN</v>
          </cell>
          <cell r="D2301">
            <v>4</v>
          </cell>
        </row>
        <row r="2303">
          <cell r="A2303" t="str">
            <v>165400</v>
          </cell>
          <cell r="B2303" t="str">
            <v>MONTAGEM DE VENTOSAS TRIPLICES DE FERRO FUNDIDO TIPO F</v>
          </cell>
        </row>
        <row r="2304">
          <cell r="A2304" t="str">
            <v>165401</v>
          </cell>
          <cell r="B2304" t="str">
            <v>DIAMETRO 100 MM</v>
          </cell>
          <cell r="C2304" t="str">
            <v>UN</v>
          </cell>
          <cell r="D2304">
            <v>8.89</v>
          </cell>
        </row>
        <row r="2305">
          <cell r="A2305" t="str">
            <v>165402</v>
          </cell>
          <cell r="B2305" t="str">
            <v>DIAMETRO 150 MM</v>
          </cell>
          <cell r="C2305" t="str">
            <v>UN</v>
          </cell>
          <cell r="D2305">
            <v>13.23</v>
          </cell>
        </row>
        <row r="2306">
          <cell r="A2306" t="str">
            <v>165403</v>
          </cell>
          <cell r="B2306" t="str">
            <v>DIAMETRO 200 MM</v>
          </cell>
          <cell r="C2306" t="str">
            <v>UN</v>
          </cell>
          <cell r="D2306">
            <v>19.489999999999998</v>
          </cell>
        </row>
        <row r="2308">
          <cell r="A2308" t="str">
            <v>165500</v>
          </cell>
          <cell r="B2308" t="str">
            <v>MONTAGEM DE JUNTAS DE EXPANSAO DE FERRO FUNDIDO TIPO FF</v>
          </cell>
        </row>
        <row r="2309">
          <cell r="A2309" t="str">
            <v>165501</v>
          </cell>
          <cell r="B2309" t="str">
            <v>DIAMETRO 100 MM</v>
          </cell>
          <cell r="C2309" t="str">
            <v>UN</v>
          </cell>
          <cell r="D2309">
            <v>14.45</v>
          </cell>
        </row>
        <row r="2310">
          <cell r="A2310" t="str">
            <v>165502</v>
          </cell>
          <cell r="B2310" t="str">
            <v>DIAMETRO 150 MM</v>
          </cell>
          <cell r="C2310" t="str">
            <v>UN</v>
          </cell>
          <cell r="D2310">
            <v>21.81</v>
          </cell>
        </row>
        <row r="2311">
          <cell r="A2311" t="str">
            <v>165503</v>
          </cell>
          <cell r="B2311" t="str">
            <v>DIAMETRO 200 MM</v>
          </cell>
          <cell r="C2311" t="str">
            <v>UN</v>
          </cell>
          <cell r="D2311">
            <v>28.98</v>
          </cell>
        </row>
        <row r="2312">
          <cell r="A2312" t="str">
            <v>165504</v>
          </cell>
          <cell r="B2312" t="str">
            <v>DIAMETRO 250 MM</v>
          </cell>
          <cell r="C2312" t="str">
            <v>UN</v>
          </cell>
          <cell r="D2312">
            <v>37.71</v>
          </cell>
        </row>
        <row r="2313">
          <cell r="A2313" t="str">
            <v>165505</v>
          </cell>
          <cell r="B2313" t="str">
            <v>DIAMETRO 300 MM</v>
          </cell>
          <cell r="C2313" t="str">
            <v>UN</v>
          </cell>
          <cell r="D2313">
            <v>49.54</v>
          </cell>
        </row>
        <row r="2314">
          <cell r="A2314" t="str">
            <v>165506</v>
          </cell>
          <cell r="B2314" t="str">
            <v>DIAMETRO 400 MM</v>
          </cell>
          <cell r="C2314" t="str">
            <v>UN</v>
          </cell>
          <cell r="D2314">
            <v>78.069999999999993</v>
          </cell>
        </row>
        <row r="2315">
          <cell r="A2315" t="str">
            <v>165507</v>
          </cell>
          <cell r="B2315" t="str">
            <v>DIAMETRO 500 MM</v>
          </cell>
          <cell r="C2315" t="str">
            <v>UN</v>
          </cell>
          <cell r="D2315">
            <v>116.93</v>
          </cell>
        </row>
        <row r="2316">
          <cell r="A2316" t="str">
            <v>165508</v>
          </cell>
          <cell r="B2316" t="str">
            <v>DIAMETRO 600 MM</v>
          </cell>
          <cell r="C2316" t="str">
            <v>UN</v>
          </cell>
          <cell r="D2316">
            <v>151.72999999999999</v>
          </cell>
        </row>
        <row r="2318">
          <cell r="A2318" t="str">
            <v>165600</v>
          </cell>
          <cell r="B2318" t="str">
            <v>MONTAGEM DE VALVULAS DE ALIVIO DE FERRO FUNDIDO TIPO FF</v>
          </cell>
        </row>
        <row r="2319">
          <cell r="A2319" t="str">
            <v>165601</v>
          </cell>
          <cell r="B2319" t="str">
            <v>DIAMETRO 50-75 MM</v>
          </cell>
          <cell r="C2319" t="str">
            <v>UN</v>
          </cell>
          <cell r="D2319">
            <v>8.4</v>
          </cell>
        </row>
        <row r="2320">
          <cell r="A2320" t="str">
            <v>165602</v>
          </cell>
          <cell r="B2320" t="str">
            <v>DIAMETRO 60-100 MM</v>
          </cell>
          <cell r="C2320" t="str">
            <v>UN</v>
          </cell>
          <cell r="D2320">
            <v>13.56</v>
          </cell>
        </row>
        <row r="2321">
          <cell r="A2321" t="str">
            <v>165603</v>
          </cell>
          <cell r="B2321" t="str">
            <v>DIAMETRO 75-100 MM</v>
          </cell>
          <cell r="C2321" t="str">
            <v>UN</v>
          </cell>
          <cell r="D2321">
            <v>14</v>
          </cell>
        </row>
        <row r="2322">
          <cell r="A2322" t="str">
            <v>165604</v>
          </cell>
          <cell r="B2322" t="str">
            <v>DIAMETRO 100-150 MM</v>
          </cell>
          <cell r="C2322" t="str">
            <v>UN</v>
          </cell>
          <cell r="D2322">
            <v>19.61</v>
          </cell>
        </row>
        <row r="2323">
          <cell r="A2323" t="str">
            <v>165605</v>
          </cell>
          <cell r="B2323" t="str">
            <v>DIAMETRO 150-200 MM</v>
          </cell>
          <cell r="C2323" t="str">
            <v>UN</v>
          </cell>
          <cell r="D2323">
            <v>26.3</v>
          </cell>
        </row>
        <row r="2325">
          <cell r="A2325" t="str">
            <v>165700</v>
          </cell>
          <cell r="B2325" t="str">
            <v>MONTAGEM DE CRIVOS DE FERRO FUNDIDO TIPO F</v>
          </cell>
        </row>
        <row r="2326">
          <cell r="A2326" t="str">
            <v>165701</v>
          </cell>
          <cell r="B2326" t="str">
            <v>DIAMETRO 100 MM</v>
          </cell>
          <cell r="C2326" t="str">
            <v>UN</v>
          </cell>
          <cell r="D2326">
            <v>5.14</v>
          </cell>
        </row>
        <row r="2327">
          <cell r="A2327" t="str">
            <v>165702</v>
          </cell>
          <cell r="B2327" t="str">
            <v>DIAMETRO 150 MM</v>
          </cell>
          <cell r="C2327" t="str">
            <v>UN</v>
          </cell>
          <cell r="D2327">
            <v>7.38</v>
          </cell>
        </row>
        <row r="2328">
          <cell r="A2328" t="str">
            <v>165703</v>
          </cell>
          <cell r="B2328" t="str">
            <v>DIAMETRO 200 MM</v>
          </cell>
          <cell r="C2328" t="str">
            <v>UN</v>
          </cell>
          <cell r="D2328">
            <v>9.08</v>
          </cell>
        </row>
        <row r="2329">
          <cell r="A2329" t="str">
            <v>165704</v>
          </cell>
          <cell r="B2329" t="str">
            <v>DIAMETRO 250 MM</v>
          </cell>
          <cell r="C2329" t="str">
            <v>UN</v>
          </cell>
          <cell r="D2329">
            <v>12.11</v>
          </cell>
        </row>
        <row r="2330">
          <cell r="A2330" t="str">
            <v>165705</v>
          </cell>
          <cell r="B2330" t="str">
            <v>DIAMETRO 300 MM</v>
          </cell>
          <cell r="C2330" t="str">
            <v>UN</v>
          </cell>
          <cell r="D2330">
            <v>16.010000000000002</v>
          </cell>
        </row>
        <row r="2331">
          <cell r="A2331" t="str">
            <v>165706</v>
          </cell>
          <cell r="B2331" t="str">
            <v>DIAMETRO 400 MM</v>
          </cell>
          <cell r="C2331" t="str">
            <v>UN</v>
          </cell>
          <cell r="D2331">
            <v>22.13</v>
          </cell>
        </row>
        <row r="2332">
          <cell r="A2332" t="str">
            <v>165707</v>
          </cell>
          <cell r="B2332" t="str">
            <v>DIAMETRO 500 MM</v>
          </cell>
          <cell r="C2332" t="str">
            <v>UN</v>
          </cell>
          <cell r="D2332">
            <v>30.33</v>
          </cell>
        </row>
        <row r="2333">
          <cell r="A2333" t="str">
            <v>165708</v>
          </cell>
          <cell r="B2333" t="str">
            <v>DIAMETRO 600 MM</v>
          </cell>
          <cell r="C2333" t="str">
            <v>UN</v>
          </cell>
          <cell r="D2333">
            <v>39.74</v>
          </cell>
        </row>
        <row r="2335">
          <cell r="A2335" t="str">
            <v>165800</v>
          </cell>
          <cell r="B2335" t="str">
            <v>MONTAGEM DE VALVULAS DE PE C/CRIVO DE FERRO FUNDIDO TIPO F</v>
          </cell>
        </row>
        <row r="2336">
          <cell r="A2336" t="str">
            <v>165801</v>
          </cell>
          <cell r="B2336" t="str">
            <v>DIAMETRO 100 MM</v>
          </cell>
          <cell r="C2336" t="str">
            <v>UN</v>
          </cell>
          <cell r="D2336">
            <v>8.01</v>
          </cell>
        </row>
        <row r="2337">
          <cell r="A2337" t="str">
            <v>165802</v>
          </cell>
          <cell r="B2337" t="str">
            <v>DIAMETRO 150 MM</v>
          </cell>
          <cell r="C2337" t="str">
            <v>UN</v>
          </cell>
          <cell r="D2337">
            <v>11.65</v>
          </cell>
        </row>
        <row r="2338">
          <cell r="A2338" t="str">
            <v>165803</v>
          </cell>
          <cell r="B2338" t="str">
            <v>DIAMETRO 200 MM</v>
          </cell>
          <cell r="C2338" t="str">
            <v>UN</v>
          </cell>
          <cell r="D2338">
            <v>14.81</v>
          </cell>
        </row>
        <row r="2339">
          <cell r="A2339" t="str">
            <v>165804</v>
          </cell>
          <cell r="B2339" t="str">
            <v>DIAMETRO 250 MM</v>
          </cell>
          <cell r="C2339" t="str">
            <v>UN</v>
          </cell>
          <cell r="D2339">
            <v>19.47</v>
          </cell>
        </row>
        <row r="2340">
          <cell r="A2340" t="str">
            <v>165805</v>
          </cell>
          <cell r="B2340" t="str">
            <v>DIAMETRO 300 MM</v>
          </cell>
          <cell r="C2340" t="str">
            <v>UN</v>
          </cell>
          <cell r="D2340">
            <v>25.33</v>
          </cell>
        </row>
        <row r="2341">
          <cell r="A2341" t="str">
            <v>165806</v>
          </cell>
          <cell r="B2341" t="str">
            <v>DIAMETRO 400 MM</v>
          </cell>
          <cell r="C2341" t="str">
            <v>UN</v>
          </cell>
          <cell r="D2341">
            <v>43.82</v>
          </cell>
        </row>
        <row r="2342">
          <cell r="A2342" t="str">
            <v>165807</v>
          </cell>
          <cell r="B2342" t="str">
            <v>DIAMETRO 500 MM</v>
          </cell>
          <cell r="C2342" t="str">
            <v>UN</v>
          </cell>
          <cell r="D2342">
            <v>56.15</v>
          </cell>
        </row>
        <row r="2343">
          <cell r="A2343" t="str">
            <v>165808</v>
          </cell>
          <cell r="B2343" t="str">
            <v>DIAMETRO 600 MM</v>
          </cell>
          <cell r="C2343" t="str">
            <v>UN</v>
          </cell>
          <cell r="D2343">
            <v>63.65</v>
          </cell>
        </row>
        <row r="2345">
          <cell r="A2345" t="str">
            <v>165900</v>
          </cell>
          <cell r="B2345" t="str">
            <v>MONTAGEM DE VALVULAS DE RETENCAO DE FERRO FUNDIDO TIPO FF</v>
          </cell>
        </row>
        <row r="2346">
          <cell r="A2346" t="str">
            <v>165901</v>
          </cell>
          <cell r="B2346" t="str">
            <v>DIAMETRO 100 MM</v>
          </cell>
          <cell r="C2346" t="str">
            <v>UN</v>
          </cell>
          <cell r="D2346">
            <v>13.41</v>
          </cell>
        </row>
        <row r="2347">
          <cell r="A2347" t="str">
            <v>165902</v>
          </cell>
          <cell r="B2347" t="str">
            <v>DIAMETRO 150 MM</v>
          </cell>
          <cell r="C2347" t="str">
            <v>UN</v>
          </cell>
          <cell r="D2347">
            <v>19.41</v>
          </cell>
        </row>
        <row r="2348">
          <cell r="A2348" t="str">
            <v>165903</v>
          </cell>
          <cell r="B2348" t="str">
            <v>DIAMETRO 200 MM</v>
          </cell>
          <cell r="C2348" t="str">
            <v>UN</v>
          </cell>
          <cell r="D2348">
            <v>24.59</v>
          </cell>
        </row>
        <row r="2349">
          <cell r="A2349" t="str">
            <v>165904</v>
          </cell>
          <cell r="B2349" t="str">
            <v>DIAMETRO 250 MM</v>
          </cell>
          <cell r="C2349" t="str">
            <v>UN</v>
          </cell>
          <cell r="D2349">
            <v>32.74</v>
          </cell>
        </row>
        <row r="2350">
          <cell r="A2350" t="str">
            <v>165905</v>
          </cell>
          <cell r="B2350" t="str">
            <v>DIAMETRO 300 MM</v>
          </cell>
          <cell r="C2350" t="str">
            <v>UN</v>
          </cell>
          <cell r="D2350">
            <v>42.16</v>
          </cell>
        </row>
        <row r="2351">
          <cell r="A2351" t="str">
            <v>165906</v>
          </cell>
          <cell r="B2351" t="str">
            <v>DIAMETRO 400 MM</v>
          </cell>
          <cell r="C2351" t="str">
            <v>UN</v>
          </cell>
          <cell r="D2351">
            <v>62.04</v>
          </cell>
        </row>
        <row r="2352">
          <cell r="A2352" t="str">
            <v>165907</v>
          </cell>
          <cell r="B2352" t="str">
            <v>DIAMETRO 500 MM</v>
          </cell>
          <cell r="C2352" t="str">
            <v>UN</v>
          </cell>
          <cell r="D2352">
            <v>87.63</v>
          </cell>
        </row>
        <row r="2353">
          <cell r="A2353" t="str">
            <v>165908</v>
          </cell>
          <cell r="B2353" t="str">
            <v>DIAMETRO 600 MM</v>
          </cell>
          <cell r="C2353" t="str">
            <v>UN</v>
          </cell>
          <cell r="D2353">
            <v>106.62</v>
          </cell>
        </row>
        <row r="2355">
          <cell r="A2355" t="str">
            <v>166000</v>
          </cell>
          <cell r="B2355" t="str">
            <v>MONTAGEM DE JUNTAS GIBAULT DE FERRO FUNDIDO</v>
          </cell>
        </row>
        <row r="2356">
          <cell r="A2356" t="str">
            <v>166001</v>
          </cell>
          <cell r="B2356" t="str">
            <v>DIAMETRO 100 MM</v>
          </cell>
          <cell r="C2356" t="str">
            <v>UN</v>
          </cell>
          <cell r="D2356">
            <v>10.09</v>
          </cell>
        </row>
        <row r="2357">
          <cell r="A2357" t="str">
            <v>166002</v>
          </cell>
          <cell r="B2357" t="str">
            <v>DIAMETRO 150 MM</v>
          </cell>
          <cell r="C2357" t="str">
            <v>UN</v>
          </cell>
          <cell r="D2357">
            <v>14.23</v>
          </cell>
        </row>
        <row r="2358">
          <cell r="A2358" t="str">
            <v>166003</v>
          </cell>
          <cell r="B2358" t="str">
            <v>DIAMETRO 200 MM</v>
          </cell>
          <cell r="C2358" t="str">
            <v>UN</v>
          </cell>
          <cell r="D2358">
            <v>17.68</v>
          </cell>
        </row>
        <row r="2359">
          <cell r="A2359" t="str">
            <v>166004</v>
          </cell>
          <cell r="B2359" t="str">
            <v>DIAMETRO 250 MM</v>
          </cell>
          <cell r="C2359" t="str">
            <v>UN</v>
          </cell>
          <cell r="D2359">
            <v>23.63</v>
          </cell>
        </row>
        <row r="2360">
          <cell r="A2360" t="str">
            <v>166005</v>
          </cell>
          <cell r="B2360" t="str">
            <v>DIAMETRO 300 MM</v>
          </cell>
          <cell r="C2360" t="str">
            <v>UN</v>
          </cell>
          <cell r="D2360">
            <v>30.56</v>
          </cell>
        </row>
        <row r="2361">
          <cell r="A2361" t="str">
            <v>166006</v>
          </cell>
          <cell r="B2361" t="str">
            <v>DIAMETRO 400 MM</v>
          </cell>
          <cell r="C2361" t="str">
            <v>UN</v>
          </cell>
          <cell r="D2361">
            <v>42.08</v>
          </cell>
        </row>
        <row r="2362">
          <cell r="A2362" t="str">
            <v>166007</v>
          </cell>
          <cell r="B2362" t="str">
            <v>DIAMETRO 500 MM</v>
          </cell>
          <cell r="C2362" t="str">
            <v>UN</v>
          </cell>
          <cell r="D2362">
            <v>55.28</v>
          </cell>
        </row>
        <row r="2363">
          <cell r="A2363" t="str">
            <v>166008</v>
          </cell>
          <cell r="B2363" t="str">
            <v>DIAMETRO 600 MM</v>
          </cell>
          <cell r="C2363" t="str">
            <v>UN</v>
          </cell>
          <cell r="D2363">
            <v>73.150000000000006</v>
          </cell>
        </row>
        <row r="2365">
          <cell r="A2365" t="str">
            <v>166100</v>
          </cell>
          <cell r="B2365" t="str">
            <v>MONTAGEM DE LUVAS BIPARTIDAS P/BOLSAS</v>
          </cell>
        </row>
        <row r="2366">
          <cell r="A2366" t="str">
            <v>166101</v>
          </cell>
          <cell r="B2366" t="str">
            <v>DIAMETRO 200 MM</v>
          </cell>
          <cell r="C2366" t="str">
            <v>UN</v>
          </cell>
          <cell r="D2366">
            <v>72.989999999999995</v>
          </cell>
        </row>
        <row r="2367">
          <cell r="A2367" t="str">
            <v>166102</v>
          </cell>
          <cell r="B2367" t="str">
            <v>DIAMETRO 250 MM</v>
          </cell>
          <cell r="C2367" t="str">
            <v>UN</v>
          </cell>
          <cell r="D2367">
            <v>94.19</v>
          </cell>
        </row>
        <row r="2368">
          <cell r="A2368" t="str">
            <v>166103</v>
          </cell>
          <cell r="B2368" t="str">
            <v>DIAMETRO 300 MM</v>
          </cell>
          <cell r="C2368" t="str">
            <v>UN</v>
          </cell>
          <cell r="D2368">
            <v>118.44</v>
          </cell>
        </row>
        <row r="2369">
          <cell r="A2369" t="str">
            <v>166104</v>
          </cell>
          <cell r="B2369" t="str">
            <v>DIAMETRO 400 MM</v>
          </cell>
          <cell r="C2369" t="str">
            <v>UN</v>
          </cell>
          <cell r="D2369">
            <v>168.59</v>
          </cell>
        </row>
        <row r="2370">
          <cell r="A2370" t="str">
            <v>166105</v>
          </cell>
          <cell r="B2370" t="str">
            <v>DIAMETRO 500 MM</v>
          </cell>
          <cell r="C2370" t="str">
            <v>UN</v>
          </cell>
          <cell r="D2370">
            <v>232.25</v>
          </cell>
        </row>
        <row r="2371">
          <cell r="A2371" t="str">
            <v>166106</v>
          </cell>
          <cell r="B2371" t="str">
            <v>DIAMETRO 600 MM</v>
          </cell>
          <cell r="C2371" t="str">
            <v>UN</v>
          </cell>
          <cell r="D2371">
            <v>315.11</v>
          </cell>
        </row>
        <row r="2373">
          <cell r="A2373" t="str">
            <v>166200</v>
          </cell>
          <cell r="B2373" t="str">
            <v>MONTAGEM DE LUVAS BIPARTIDAS PARA CILINDROS</v>
          </cell>
        </row>
        <row r="2374">
          <cell r="A2374" t="str">
            <v>166201</v>
          </cell>
          <cell r="B2374" t="str">
            <v>DIAMETRO100 MM</v>
          </cell>
          <cell r="C2374" t="str">
            <v>UN</v>
          </cell>
          <cell r="D2374">
            <v>26.5</v>
          </cell>
        </row>
        <row r="2375">
          <cell r="A2375" t="str">
            <v>166202</v>
          </cell>
          <cell r="B2375" t="str">
            <v>DIAMETRO 150 MM</v>
          </cell>
          <cell r="C2375" t="str">
            <v>UN</v>
          </cell>
          <cell r="D2375">
            <v>44.64</v>
          </cell>
        </row>
        <row r="2376">
          <cell r="A2376" t="str">
            <v>166203</v>
          </cell>
          <cell r="B2376" t="str">
            <v>DIAMETRO 200 MM</v>
          </cell>
          <cell r="C2376" t="str">
            <v>UN</v>
          </cell>
          <cell r="D2376">
            <v>63.34</v>
          </cell>
        </row>
        <row r="2377">
          <cell r="A2377" t="str">
            <v>166204</v>
          </cell>
          <cell r="B2377" t="str">
            <v>DIAMETRO 250 MM</v>
          </cell>
          <cell r="C2377" t="str">
            <v>UN</v>
          </cell>
          <cell r="D2377">
            <v>79.95</v>
          </cell>
        </row>
        <row r="2378">
          <cell r="A2378" t="str">
            <v>166205</v>
          </cell>
          <cell r="B2378" t="str">
            <v>DIAMETRO 300 MM</v>
          </cell>
          <cell r="C2378" t="str">
            <v>UN</v>
          </cell>
          <cell r="D2378">
            <v>102.29</v>
          </cell>
        </row>
        <row r="2379">
          <cell r="A2379" t="str">
            <v>166206</v>
          </cell>
          <cell r="B2379" t="str">
            <v>DIAMETRO 400 MM</v>
          </cell>
          <cell r="C2379" t="str">
            <v>UN</v>
          </cell>
          <cell r="D2379">
            <v>154.66</v>
          </cell>
        </row>
        <row r="2380">
          <cell r="A2380" t="str">
            <v>166207</v>
          </cell>
          <cell r="B2380" t="str">
            <v>DIAMETRO 500 MM</v>
          </cell>
          <cell r="C2380" t="str">
            <v>UN</v>
          </cell>
          <cell r="D2380">
            <v>223.13</v>
          </cell>
        </row>
        <row r="2381">
          <cell r="A2381" t="str">
            <v>166208</v>
          </cell>
          <cell r="B2381" t="str">
            <v>DIAMETRO 600 MM</v>
          </cell>
          <cell r="C2381" t="str">
            <v>UN</v>
          </cell>
          <cell r="D2381">
            <v>308.18</v>
          </cell>
        </row>
        <row r="2383">
          <cell r="A2383" t="str">
            <v>166300</v>
          </cell>
          <cell r="B2383" t="str">
            <v>MONTAGEM DE PEDESTAIS DE MANOBRA DE FERRO FUNDIDO</v>
          </cell>
        </row>
        <row r="2384">
          <cell r="A2384" t="str">
            <v>166301</v>
          </cell>
          <cell r="B2384" t="str">
            <v>MODELO 01</v>
          </cell>
          <cell r="C2384" t="str">
            <v>UN</v>
          </cell>
          <cell r="D2384">
            <v>306.61</v>
          </cell>
        </row>
        <row r="2385">
          <cell r="A2385" t="str">
            <v>166302</v>
          </cell>
          <cell r="B2385" t="str">
            <v>MODELO 02</v>
          </cell>
          <cell r="C2385" t="str">
            <v>UN</v>
          </cell>
          <cell r="D2385">
            <v>320.49</v>
          </cell>
        </row>
        <row r="2386">
          <cell r="A2386" t="str">
            <v>166303</v>
          </cell>
          <cell r="B2386" t="str">
            <v>MODELO 03</v>
          </cell>
          <cell r="C2386" t="str">
            <v>UN</v>
          </cell>
          <cell r="D2386">
            <v>337.75</v>
          </cell>
        </row>
        <row r="2387">
          <cell r="A2387" t="str">
            <v>166304</v>
          </cell>
          <cell r="B2387" t="str">
            <v>MODELO 04</v>
          </cell>
          <cell r="C2387" t="str">
            <v>UN</v>
          </cell>
          <cell r="D2387">
            <v>342.7</v>
          </cell>
        </row>
        <row r="2388">
          <cell r="A2388" t="str">
            <v>166305</v>
          </cell>
          <cell r="B2388" t="str">
            <v>MODELO 05</v>
          </cell>
          <cell r="C2388" t="str">
            <v>UN</v>
          </cell>
          <cell r="D2388">
            <v>361.85</v>
          </cell>
        </row>
        <row r="2389">
          <cell r="A2389" t="str">
            <v>166306</v>
          </cell>
          <cell r="B2389" t="str">
            <v>MODELO 06</v>
          </cell>
          <cell r="C2389" t="str">
            <v>UN</v>
          </cell>
          <cell r="D2389">
            <v>372.4</v>
          </cell>
        </row>
        <row r="2390">
          <cell r="A2390" t="str">
            <v>166307</v>
          </cell>
          <cell r="B2390" t="str">
            <v>MODELO 07</v>
          </cell>
          <cell r="C2390" t="str">
            <v>UN</v>
          </cell>
          <cell r="D2390">
            <v>387.09</v>
          </cell>
        </row>
        <row r="2391">
          <cell r="A2391" t="str">
            <v>166308</v>
          </cell>
          <cell r="B2391" t="str">
            <v>MODELO 21</v>
          </cell>
          <cell r="C2391" t="str">
            <v>UN</v>
          </cell>
          <cell r="D2391">
            <v>306.61</v>
          </cell>
        </row>
        <row r="2393">
          <cell r="A2393" t="str">
            <v>166400</v>
          </cell>
          <cell r="B2393" t="str">
            <v>MONTAGEM DE PEDESTAIS DE SUSPENSAO DE FERRO FUNDIDO</v>
          </cell>
        </row>
        <row r="2394">
          <cell r="A2394" t="str">
            <v>166401</v>
          </cell>
          <cell r="B2394" t="str">
            <v>MODELO 01</v>
          </cell>
          <cell r="C2394" t="str">
            <v>UN</v>
          </cell>
          <cell r="D2394">
            <v>308.94</v>
          </cell>
        </row>
        <row r="2395">
          <cell r="A2395" t="str">
            <v>166402</v>
          </cell>
          <cell r="B2395" t="str">
            <v>MODELO 02</v>
          </cell>
          <cell r="C2395" t="str">
            <v>UN</v>
          </cell>
          <cell r="D2395">
            <v>323.68</v>
          </cell>
        </row>
        <row r="2396">
          <cell r="A2396" t="str">
            <v>166403</v>
          </cell>
          <cell r="B2396" t="str">
            <v>MODELO 03</v>
          </cell>
          <cell r="C2396" t="str">
            <v>UN</v>
          </cell>
          <cell r="D2396">
            <v>324.36</v>
          </cell>
        </row>
        <row r="2397">
          <cell r="A2397" t="str">
            <v>166404</v>
          </cell>
          <cell r="B2397" t="str">
            <v>MODELO 04</v>
          </cell>
          <cell r="C2397" t="str">
            <v>UN</v>
          </cell>
          <cell r="D2397">
            <v>330.02</v>
          </cell>
        </row>
        <row r="2398">
          <cell r="A2398" t="str">
            <v>166405</v>
          </cell>
          <cell r="B2398" t="str">
            <v>MODELO 05</v>
          </cell>
          <cell r="C2398" t="str">
            <v>UN</v>
          </cell>
          <cell r="D2398">
            <v>330.71</v>
          </cell>
        </row>
        <row r="2399">
          <cell r="A2399" t="str">
            <v>166406</v>
          </cell>
          <cell r="B2399" t="str">
            <v>MODELO 06</v>
          </cell>
          <cell r="C2399" t="str">
            <v>UN</v>
          </cell>
          <cell r="D2399">
            <v>331.38</v>
          </cell>
        </row>
        <row r="2400">
          <cell r="A2400" t="str">
            <v>166407</v>
          </cell>
          <cell r="B2400" t="str">
            <v>MODELO 08</v>
          </cell>
          <cell r="C2400" t="str">
            <v>UN</v>
          </cell>
          <cell r="D2400">
            <v>332.79</v>
          </cell>
        </row>
        <row r="2401">
          <cell r="A2401" t="str">
            <v>166408</v>
          </cell>
          <cell r="B2401" t="str">
            <v>MODELO 10</v>
          </cell>
          <cell r="C2401" t="str">
            <v>UN</v>
          </cell>
          <cell r="D2401">
            <v>389.37</v>
          </cell>
        </row>
        <row r="2402">
          <cell r="A2402" t="str">
            <v>166409</v>
          </cell>
          <cell r="B2402" t="str">
            <v>MODELO 11</v>
          </cell>
          <cell r="C2402" t="str">
            <v>UN</v>
          </cell>
          <cell r="D2402">
            <v>390.83</v>
          </cell>
        </row>
        <row r="2403">
          <cell r="A2403" t="str">
            <v>166410</v>
          </cell>
          <cell r="B2403" t="str">
            <v>MODELO 12</v>
          </cell>
          <cell r="C2403" t="str">
            <v>UN</v>
          </cell>
          <cell r="D2403">
            <v>392.28</v>
          </cell>
        </row>
        <row r="2404">
          <cell r="A2404" t="str">
            <v>166411</v>
          </cell>
          <cell r="B2404" t="str">
            <v>MODELO 13</v>
          </cell>
          <cell r="C2404" t="str">
            <v>UN</v>
          </cell>
          <cell r="D2404">
            <v>393.7</v>
          </cell>
        </row>
        <row r="2405">
          <cell r="A2405" t="str">
            <v>166412</v>
          </cell>
          <cell r="B2405" t="str">
            <v>MODELO 14</v>
          </cell>
          <cell r="C2405" t="str">
            <v>UN</v>
          </cell>
          <cell r="D2405">
            <v>395.15</v>
          </cell>
        </row>
        <row r="2406">
          <cell r="A2406" t="str">
            <v>166413</v>
          </cell>
          <cell r="B2406" t="str">
            <v>MODELO 16</v>
          </cell>
          <cell r="C2406" t="str">
            <v>UN</v>
          </cell>
          <cell r="D2406">
            <v>398.08</v>
          </cell>
        </row>
        <row r="2407">
          <cell r="A2407" t="str">
            <v>166414</v>
          </cell>
          <cell r="B2407" t="str">
            <v>MODELO 18</v>
          </cell>
          <cell r="C2407" t="str">
            <v>UN</v>
          </cell>
          <cell r="D2407">
            <v>316.07</v>
          </cell>
        </row>
        <row r="2408">
          <cell r="A2408" t="str">
            <v>166415</v>
          </cell>
          <cell r="B2408" t="str">
            <v>MODELO 19</v>
          </cell>
          <cell r="C2408" t="str">
            <v>UN</v>
          </cell>
          <cell r="D2408">
            <v>360.57</v>
          </cell>
        </row>
        <row r="2409">
          <cell r="A2409" t="str">
            <v>166416</v>
          </cell>
          <cell r="B2409" t="str">
            <v>MODELO 20</v>
          </cell>
          <cell r="C2409" t="str">
            <v>UN</v>
          </cell>
          <cell r="D2409">
            <v>395.72</v>
          </cell>
        </row>
        <row r="2410">
          <cell r="A2410" t="str">
            <v>166417</v>
          </cell>
          <cell r="B2410" t="str">
            <v>MODELO 21</v>
          </cell>
          <cell r="C2410" t="str">
            <v>UN</v>
          </cell>
          <cell r="D2410">
            <v>365.33</v>
          </cell>
        </row>
        <row r="2411">
          <cell r="A2411" t="str">
            <v>166418</v>
          </cell>
          <cell r="B2411" t="str">
            <v>MODELO 22</v>
          </cell>
          <cell r="C2411" t="str">
            <v>UN</v>
          </cell>
          <cell r="D2411">
            <v>369.96</v>
          </cell>
        </row>
        <row r="2412">
          <cell r="A2412" t="str">
            <v>166419</v>
          </cell>
          <cell r="B2412" t="str">
            <v>MODELO 23</v>
          </cell>
          <cell r="C2412" t="str">
            <v>UN</v>
          </cell>
          <cell r="D2412">
            <v>374.62</v>
          </cell>
        </row>
        <row r="2413">
          <cell r="A2413" t="str">
            <v>166420</v>
          </cell>
          <cell r="B2413" t="str">
            <v>MODELO 25</v>
          </cell>
          <cell r="C2413" t="str">
            <v>UN</v>
          </cell>
          <cell r="D2413">
            <v>383.87</v>
          </cell>
        </row>
        <row r="2414">
          <cell r="A2414" t="str">
            <v>166421</v>
          </cell>
          <cell r="B2414" t="str">
            <v>MODELO 27</v>
          </cell>
          <cell r="C2414" t="str">
            <v>UN</v>
          </cell>
          <cell r="D2414">
            <v>464.98</v>
          </cell>
        </row>
        <row r="2415">
          <cell r="A2415" t="str">
            <v>166422</v>
          </cell>
          <cell r="B2415" t="str">
            <v>MODELO 28</v>
          </cell>
          <cell r="C2415" t="str">
            <v>UN</v>
          </cell>
          <cell r="D2415">
            <v>467.29</v>
          </cell>
        </row>
        <row r="2416">
          <cell r="A2416" t="str">
            <v>166423</v>
          </cell>
          <cell r="B2416" t="str">
            <v>MODELO 29</v>
          </cell>
          <cell r="C2416" t="str">
            <v>UN</v>
          </cell>
          <cell r="D2416">
            <v>469.6</v>
          </cell>
        </row>
        <row r="2417">
          <cell r="A2417" t="str">
            <v>166424</v>
          </cell>
          <cell r="B2417" t="str">
            <v>MODELO 30</v>
          </cell>
          <cell r="C2417" t="str">
            <v>UN</v>
          </cell>
          <cell r="D2417">
            <v>471.88</v>
          </cell>
        </row>
        <row r="2418">
          <cell r="A2418" t="str">
            <v>166425</v>
          </cell>
          <cell r="B2418" t="str">
            <v>MODELO 31</v>
          </cell>
          <cell r="C2418" t="str">
            <v>UN</v>
          </cell>
          <cell r="D2418">
            <v>476.56</v>
          </cell>
        </row>
        <row r="2419">
          <cell r="A2419" t="str">
            <v>166426</v>
          </cell>
          <cell r="B2419" t="str">
            <v>MODELO 33</v>
          </cell>
          <cell r="C2419" t="str">
            <v>UN</v>
          </cell>
          <cell r="D2419">
            <v>431.67</v>
          </cell>
        </row>
        <row r="2421">
          <cell r="A2421" t="str">
            <v>166500</v>
          </cell>
          <cell r="B2421" t="str">
            <v>MANUSEIO DE TUBOS DE ACO (MONTAGEM)</v>
          </cell>
        </row>
        <row r="2422">
          <cell r="A2422" t="str">
            <v>166501</v>
          </cell>
          <cell r="B2422" t="str">
            <v>DIAMETRO 2 POLEGADA</v>
          </cell>
          <cell r="C2422" t="str">
            <v>M</v>
          </cell>
          <cell r="D2422">
            <v>10.050000000000001</v>
          </cell>
        </row>
        <row r="2423">
          <cell r="A2423" t="str">
            <v>166502</v>
          </cell>
          <cell r="B2423" t="str">
            <v>DIAMETRO 3 POLEGADA</v>
          </cell>
          <cell r="C2423" t="str">
            <v>M</v>
          </cell>
          <cell r="D2423">
            <v>14.68</v>
          </cell>
        </row>
        <row r="2424">
          <cell r="A2424" t="str">
            <v>166503</v>
          </cell>
          <cell r="B2424" t="str">
            <v>DIAMETRO 4 POLEGADA</v>
          </cell>
          <cell r="C2424" t="str">
            <v>M</v>
          </cell>
          <cell r="D2424">
            <v>13.89</v>
          </cell>
        </row>
        <row r="2425">
          <cell r="A2425" t="str">
            <v>166504</v>
          </cell>
          <cell r="B2425" t="str">
            <v>DIAMETRO 6 POLEGADA</v>
          </cell>
          <cell r="C2425" t="str">
            <v>M</v>
          </cell>
          <cell r="D2425">
            <v>16.579999999999998</v>
          </cell>
        </row>
        <row r="2426">
          <cell r="A2426" t="str">
            <v>166505</v>
          </cell>
          <cell r="B2426" t="str">
            <v>DIAMETRO 8 POLEGADA</v>
          </cell>
          <cell r="C2426" t="str">
            <v>M</v>
          </cell>
          <cell r="D2426">
            <v>19.48</v>
          </cell>
        </row>
        <row r="2427">
          <cell r="A2427" t="str">
            <v>166506</v>
          </cell>
          <cell r="B2427" t="str">
            <v>DIAMETRO 10 POLEGADA</v>
          </cell>
          <cell r="C2427" t="str">
            <v>M</v>
          </cell>
          <cell r="D2427">
            <v>24.23</v>
          </cell>
        </row>
        <row r="2428">
          <cell r="A2428" t="str">
            <v>166507</v>
          </cell>
          <cell r="B2428" t="str">
            <v>DIAMETRO 12 POLEGADA</v>
          </cell>
          <cell r="C2428" t="str">
            <v>M</v>
          </cell>
          <cell r="D2428">
            <v>29.91</v>
          </cell>
        </row>
        <row r="2429">
          <cell r="A2429" t="str">
            <v>166508</v>
          </cell>
          <cell r="B2429" t="str">
            <v>DIAMETRO 16 POLEGADA</v>
          </cell>
          <cell r="C2429" t="str">
            <v>M</v>
          </cell>
          <cell r="D2429">
            <v>42.99</v>
          </cell>
        </row>
        <row r="2430">
          <cell r="A2430" t="str">
            <v>166509</v>
          </cell>
          <cell r="B2430" t="str">
            <v>DIAMETRO 20 POLEGADA</v>
          </cell>
          <cell r="C2430" t="str">
            <v>M</v>
          </cell>
          <cell r="D2430">
            <v>58.55</v>
          </cell>
        </row>
        <row r="2431">
          <cell r="A2431" t="str">
            <v>166510</v>
          </cell>
          <cell r="B2431" t="str">
            <v>DIAMETRO 24 POLEGADA</v>
          </cell>
          <cell r="C2431" t="str">
            <v>M</v>
          </cell>
          <cell r="D2431">
            <v>66.150000000000006</v>
          </cell>
        </row>
        <row r="2432">
          <cell r="A2432" t="str">
            <v>166511</v>
          </cell>
          <cell r="B2432" t="str">
            <v>DIAMETRO 28 POLEGADA</v>
          </cell>
          <cell r="C2432" t="str">
            <v>M</v>
          </cell>
          <cell r="D2432">
            <v>72.17</v>
          </cell>
        </row>
        <row r="2433">
          <cell r="A2433" t="str">
            <v>166512</v>
          </cell>
          <cell r="B2433" t="str">
            <v>DIAMETRO 32 POLEGADA</v>
          </cell>
          <cell r="C2433" t="str">
            <v>M</v>
          </cell>
          <cell r="D2433">
            <v>83.85</v>
          </cell>
        </row>
        <row r="2434">
          <cell r="A2434" t="str">
            <v>166513</v>
          </cell>
          <cell r="B2434" t="str">
            <v>DIAMETRO 36 POLEGADA</v>
          </cell>
          <cell r="C2434" t="str">
            <v>M</v>
          </cell>
          <cell r="D2434">
            <v>87.43</v>
          </cell>
        </row>
        <row r="2435">
          <cell r="A2435" t="str">
            <v>166514</v>
          </cell>
          <cell r="B2435" t="str">
            <v>DIAMETRO 40 POLEGADA</v>
          </cell>
          <cell r="C2435" t="str">
            <v>M</v>
          </cell>
          <cell r="D2435">
            <v>89.11</v>
          </cell>
        </row>
        <row r="2437">
          <cell r="A2437" t="str">
            <v>166600</v>
          </cell>
          <cell r="B2437" t="str">
            <v>MANUSEIO DE CONEXOES, PECAS ESPECIAIS E MISCELANEOS DE ACO ATE 2 TONELADA (MONTAGEM)</v>
          </cell>
        </row>
        <row r="2438">
          <cell r="A2438" t="str">
            <v>166601</v>
          </cell>
          <cell r="B2438" t="str">
            <v>DIAMETRO 2 POLEGADA</v>
          </cell>
          <cell r="C2438" t="str">
            <v>KG</v>
          </cell>
          <cell r="D2438">
            <v>0.69</v>
          </cell>
        </row>
        <row r="2439">
          <cell r="A2439" t="str">
            <v>166602</v>
          </cell>
          <cell r="B2439" t="str">
            <v>DIAMETRO 3 POLEGADA</v>
          </cell>
          <cell r="C2439" t="str">
            <v>KG</v>
          </cell>
          <cell r="D2439">
            <v>0.61</v>
          </cell>
        </row>
        <row r="2440">
          <cell r="A2440" t="str">
            <v>166603</v>
          </cell>
          <cell r="B2440" t="str">
            <v>DIAMETRO 4 POLEGADA</v>
          </cell>
          <cell r="C2440" t="str">
            <v>KG</v>
          </cell>
          <cell r="D2440">
            <v>0.57999999999999996</v>
          </cell>
        </row>
        <row r="2441">
          <cell r="A2441" t="str">
            <v>166604</v>
          </cell>
          <cell r="B2441" t="str">
            <v>DIAMETRO 6 POLEGADA</v>
          </cell>
          <cell r="C2441" t="str">
            <v>KG</v>
          </cell>
          <cell r="D2441">
            <v>0.55000000000000004</v>
          </cell>
        </row>
        <row r="2442">
          <cell r="A2442" t="str">
            <v>166605</v>
          </cell>
          <cell r="B2442" t="str">
            <v>DIAMETRO 8 POLEGADA</v>
          </cell>
          <cell r="C2442" t="str">
            <v>KG</v>
          </cell>
          <cell r="D2442">
            <v>0.47</v>
          </cell>
        </row>
        <row r="2443">
          <cell r="A2443" t="str">
            <v>166606</v>
          </cell>
          <cell r="B2443" t="str">
            <v>DIAMETRO 10 POLEGADA</v>
          </cell>
          <cell r="C2443" t="str">
            <v>KG</v>
          </cell>
          <cell r="D2443">
            <v>0.47</v>
          </cell>
        </row>
        <row r="2444">
          <cell r="A2444" t="str">
            <v>166607</v>
          </cell>
          <cell r="B2444" t="str">
            <v>DIAMETRO 12 POLEGADA</v>
          </cell>
          <cell r="C2444" t="str">
            <v>KG</v>
          </cell>
          <cell r="D2444">
            <v>0.35</v>
          </cell>
        </row>
        <row r="2445">
          <cell r="A2445" t="str">
            <v>166608</v>
          </cell>
          <cell r="B2445" t="str">
            <v>DIAMETRO 16 POLEGADA</v>
          </cell>
          <cell r="C2445" t="str">
            <v>KG</v>
          </cell>
          <cell r="D2445">
            <v>0.35</v>
          </cell>
        </row>
        <row r="2446">
          <cell r="A2446" t="str">
            <v>166609</v>
          </cell>
          <cell r="B2446" t="str">
            <v>DIAMETRO 20 POLEGADA</v>
          </cell>
          <cell r="C2446" t="str">
            <v>KG</v>
          </cell>
          <cell r="D2446">
            <v>0.35</v>
          </cell>
        </row>
        <row r="2447">
          <cell r="A2447" t="str">
            <v>166610</v>
          </cell>
          <cell r="B2447" t="str">
            <v>DIAMETRO 24 POLEGADA</v>
          </cell>
          <cell r="C2447" t="str">
            <v>KG</v>
          </cell>
          <cell r="D2447">
            <v>0.26</v>
          </cell>
        </row>
        <row r="2448">
          <cell r="A2448" t="str">
            <v>166611</v>
          </cell>
          <cell r="B2448" t="str">
            <v>DIAMETRO 28 POLEGADA</v>
          </cell>
          <cell r="C2448" t="str">
            <v>KG</v>
          </cell>
          <cell r="D2448">
            <v>0.26</v>
          </cell>
        </row>
        <row r="2449">
          <cell r="A2449" t="str">
            <v>166612</v>
          </cell>
          <cell r="B2449" t="str">
            <v>DIAMETRO 32 POLEGADA</v>
          </cell>
          <cell r="C2449" t="str">
            <v>KG</v>
          </cell>
          <cell r="D2449">
            <v>0.26</v>
          </cell>
        </row>
        <row r="2450">
          <cell r="A2450" t="str">
            <v>166613</v>
          </cell>
          <cell r="B2450" t="str">
            <v>DIAMETRO 36 POLEGADA</v>
          </cell>
          <cell r="C2450" t="str">
            <v>KG</v>
          </cell>
          <cell r="D2450">
            <v>0.26</v>
          </cell>
        </row>
        <row r="2451">
          <cell r="A2451" t="str">
            <v>166614</v>
          </cell>
          <cell r="B2451" t="str">
            <v>DIAMETRO 40 POLEGADA</v>
          </cell>
          <cell r="C2451" t="str">
            <v>KG</v>
          </cell>
          <cell r="D2451">
            <v>0.26</v>
          </cell>
        </row>
        <row r="2453">
          <cell r="A2453" t="str">
            <v>166700</v>
          </cell>
          <cell r="B2453" t="str">
            <v>MANUSEIO DE CONEXOES, PECAS ESPECIAIS E MISCELANEOS DE ACO DE 2 A 5 TONELADA (MONTAGEM)</v>
          </cell>
        </row>
        <row r="2454">
          <cell r="A2454" t="str">
            <v>166701</v>
          </cell>
          <cell r="B2454" t="str">
            <v>DIAMETRO 28 POLEGADA</v>
          </cell>
          <cell r="C2454" t="str">
            <v>KG</v>
          </cell>
          <cell r="D2454">
            <v>0.25</v>
          </cell>
        </row>
        <row r="2455">
          <cell r="A2455" t="str">
            <v>166702</v>
          </cell>
          <cell r="B2455" t="str">
            <v>DIAMETRO 32 POLEGADA</v>
          </cell>
          <cell r="C2455" t="str">
            <v>KG</v>
          </cell>
          <cell r="D2455">
            <v>0.25</v>
          </cell>
        </row>
        <row r="2456">
          <cell r="A2456" t="str">
            <v>166703</v>
          </cell>
          <cell r="B2456" t="str">
            <v>DIAMETRO 36 POLEGADA</v>
          </cell>
          <cell r="C2456" t="str">
            <v>KG</v>
          </cell>
          <cell r="D2456">
            <v>0.25</v>
          </cell>
        </row>
        <row r="2457">
          <cell r="A2457" t="str">
            <v>166704</v>
          </cell>
          <cell r="B2457" t="str">
            <v>DIAMETRO 40 POLEGADA</v>
          </cell>
          <cell r="C2457" t="str">
            <v>KG</v>
          </cell>
          <cell r="D2457">
            <v>0.25</v>
          </cell>
        </row>
        <row r="2459">
          <cell r="A2459" t="str">
            <v>166800</v>
          </cell>
          <cell r="B2459" t="str">
            <v>MANUSEIO DE CONEXOES, PECAS ESPECIAIS E MISCELANEOS DE ACO DE 5 A 9 TONELADA</v>
          </cell>
        </row>
        <row r="2460">
          <cell r="A2460" t="str">
            <v>166801</v>
          </cell>
          <cell r="B2460" t="str">
            <v>DIAMETRO 28 POLEGADA</v>
          </cell>
          <cell r="C2460" t="str">
            <v>KG</v>
          </cell>
          <cell r="D2460">
            <v>0.25</v>
          </cell>
        </row>
        <row r="2461">
          <cell r="A2461" t="str">
            <v>166802</v>
          </cell>
          <cell r="B2461" t="str">
            <v>DIAMETRO 32 POLEGADA</v>
          </cell>
          <cell r="C2461" t="str">
            <v>KG</v>
          </cell>
          <cell r="D2461">
            <v>0.25</v>
          </cell>
        </row>
        <row r="2462">
          <cell r="A2462" t="str">
            <v>166803</v>
          </cell>
          <cell r="B2462" t="str">
            <v>DIAMETRO 36 POLEGADA</v>
          </cell>
          <cell r="C2462" t="str">
            <v>KG</v>
          </cell>
          <cell r="D2462">
            <v>0.25</v>
          </cell>
        </row>
        <row r="2463">
          <cell r="A2463" t="str">
            <v>166804</v>
          </cell>
          <cell r="B2463" t="str">
            <v>DIAMETRO 40 POLEGADA</v>
          </cell>
          <cell r="C2463" t="str">
            <v>KG</v>
          </cell>
          <cell r="D2463">
            <v>0.25</v>
          </cell>
        </row>
        <row r="2465">
          <cell r="A2465" t="str">
            <v>166900</v>
          </cell>
          <cell r="B2465" t="str">
            <v>MONTAGEM DE FLANGES AVULSOS DE ACO (PRE.MONTAGEM)</v>
          </cell>
        </row>
        <row r="2466">
          <cell r="A2466" t="str">
            <v>166901</v>
          </cell>
          <cell r="B2466" t="str">
            <v>DIAMETRO 4 POLEGADA</v>
          </cell>
          <cell r="C2466" t="str">
            <v>UN</v>
          </cell>
          <cell r="D2466">
            <v>80.62</v>
          </cell>
        </row>
        <row r="2467">
          <cell r="A2467" t="str">
            <v>166902</v>
          </cell>
          <cell r="B2467" t="str">
            <v>DIAMETRO 6 POLEGADA</v>
          </cell>
          <cell r="C2467" t="str">
            <v>UN</v>
          </cell>
          <cell r="D2467">
            <v>125.99</v>
          </cell>
        </row>
        <row r="2468">
          <cell r="A2468" t="str">
            <v>166903</v>
          </cell>
          <cell r="B2468" t="str">
            <v>DIAMETRO 8 POLEGADA</v>
          </cell>
          <cell r="C2468" t="str">
            <v>UN</v>
          </cell>
          <cell r="D2468">
            <v>167.96</v>
          </cell>
        </row>
        <row r="2469">
          <cell r="A2469" t="str">
            <v>166904</v>
          </cell>
          <cell r="B2469" t="str">
            <v>DIAMETRO 10 POLEGADA</v>
          </cell>
          <cell r="C2469" t="str">
            <v>UN</v>
          </cell>
          <cell r="D2469">
            <v>209.99</v>
          </cell>
        </row>
        <row r="2470">
          <cell r="A2470" t="str">
            <v>166905</v>
          </cell>
          <cell r="B2470" t="str">
            <v>DIAMETRO 12 POLEGADA</v>
          </cell>
          <cell r="C2470" t="str">
            <v>UN</v>
          </cell>
          <cell r="D2470">
            <v>252.03</v>
          </cell>
        </row>
        <row r="2471">
          <cell r="A2471" t="str">
            <v>166906</v>
          </cell>
          <cell r="B2471" t="str">
            <v>DIAMETRO 16 POLEGADA</v>
          </cell>
          <cell r="C2471" t="str">
            <v>UN</v>
          </cell>
          <cell r="D2471">
            <v>336.06</v>
          </cell>
        </row>
        <row r="2472">
          <cell r="A2472" t="str">
            <v>166907</v>
          </cell>
          <cell r="B2472" t="str">
            <v>DIAMETRO 20 POLEGADA</v>
          </cell>
          <cell r="C2472" t="str">
            <v>UN</v>
          </cell>
          <cell r="D2472">
            <v>420.16</v>
          </cell>
        </row>
        <row r="2473">
          <cell r="A2473" t="str">
            <v>166908</v>
          </cell>
          <cell r="B2473" t="str">
            <v>DIAMETRO 24 POLEGADA</v>
          </cell>
          <cell r="C2473" t="str">
            <v>UN</v>
          </cell>
          <cell r="D2473">
            <v>504.14</v>
          </cell>
        </row>
        <row r="2474">
          <cell r="A2474" t="str">
            <v>166909</v>
          </cell>
          <cell r="B2474" t="str">
            <v>DIAMETRO 28 POLEGADA</v>
          </cell>
          <cell r="C2474" t="str">
            <v>UN</v>
          </cell>
          <cell r="D2474">
            <v>588.23</v>
          </cell>
        </row>
        <row r="2475">
          <cell r="A2475" t="str">
            <v>166910</v>
          </cell>
          <cell r="B2475" t="str">
            <v>DIAMETRO 30 POLEGADA</v>
          </cell>
          <cell r="C2475" t="str">
            <v>UN</v>
          </cell>
          <cell r="D2475">
            <v>630.27</v>
          </cell>
        </row>
        <row r="2476">
          <cell r="A2476" t="str">
            <v>166911</v>
          </cell>
          <cell r="B2476" t="str">
            <v>DIAMETRO 32 POLEGADA</v>
          </cell>
          <cell r="C2476" t="str">
            <v>UN</v>
          </cell>
          <cell r="D2476">
            <v>672.26</v>
          </cell>
        </row>
        <row r="2477">
          <cell r="A2477" t="str">
            <v>166912</v>
          </cell>
          <cell r="B2477" t="str">
            <v>DIAMETRO 36 POLEGADA</v>
          </cell>
          <cell r="C2477" t="str">
            <v>UN</v>
          </cell>
          <cell r="D2477">
            <v>756.37</v>
          </cell>
        </row>
        <row r="2478">
          <cell r="A2478" t="str">
            <v>166913</v>
          </cell>
          <cell r="B2478" t="str">
            <v>DIAMETRO 40 POLEGADA</v>
          </cell>
          <cell r="C2478" t="str">
            <v>UN</v>
          </cell>
          <cell r="D2478">
            <v>840.42</v>
          </cell>
        </row>
        <row r="2480">
          <cell r="A2480" t="str">
            <v>167000</v>
          </cell>
          <cell r="B2480" t="str">
            <v>CONEXAO DE FLANGES AWWA C207</v>
          </cell>
        </row>
        <row r="2481">
          <cell r="A2481" t="str">
            <v>167001</v>
          </cell>
          <cell r="B2481" t="str">
            <v>DIAMETRO 4 POLEGADA</v>
          </cell>
          <cell r="C2481" t="str">
            <v>UN</v>
          </cell>
          <cell r="D2481">
            <v>7.54</v>
          </cell>
        </row>
        <row r="2482">
          <cell r="A2482" t="str">
            <v>167002</v>
          </cell>
          <cell r="B2482" t="str">
            <v>DIAMETRO 6 POLEGADA</v>
          </cell>
          <cell r="C2482" t="str">
            <v>UN</v>
          </cell>
          <cell r="D2482">
            <v>7.88</v>
          </cell>
        </row>
        <row r="2483">
          <cell r="A2483" t="str">
            <v>167003</v>
          </cell>
          <cell r="B2483" t="str">
            <v>DIAMETRO 8 POLEGADA</v>
          </cell>
          <cell r="C2483" t="str">
            <v>UN</v>
          </cell>
          <cell r="D2483">
            <v>8.09</v>
          </cell>
        </row>
        <row r="2484">
          <cell r="A2484" t="str">
            <v>167004</v>
          </cell>
          <cell r="B2484" t="str">
            <v>DIAMETRO 10 POLEGADA</v>
          </cell>
          <cell r="C2484" t="str">
            <v>UN</v>
          </cell>
          <cell r="D2484">
            <v>13.96</v>
          </cell>
        </row>
        <row r="2485">
          <cell r="A2485" t="str">
            <v>167005</v>
          </cell>
          <cell r="B2485" t="str">
            <v>DIAMETRO 12 POLEGADA</v>
          </cell>
          <cell r="C2485" t="str">
            <v>UN</v>
          </cell>
          <cell r="D2485">
            <v>17.739999999999998</v>
          </cell>
        </row>
        <row r="2486">
          <cell r="A2486" t="str">
            <v>167006</v>
          </cell>
          <cell r="B2486" t="str">
            <v>DIAMETRO 16 POLEGADA</v>
          </cell>
          <cell r="C2486" t="str">
            <v>UN</v>
          </cell>
          <cell r="D2486">
            <v>22.88</v>
          </cell>
        </row>
        <row r="2487">
          <cell r="A2487" t="str">
            <v>167007</v>
          </cell>
          <cell r="B2487" t="str">
            <v>DIAMETRO 20 POLEGADA</v>
          </cell>
          <cell r="C2487" t="str">
            <v>UN</v>
          </cell>
          <cell r="D2487">
            <v>28.92</v>
          </cell>
        </row>
        <row r="2488">
          <cell r="A2488" t="str">
            <v>167008</v>
          </cell>
          <cell r="B2488" t="str">
            <v>DIAMETRO 24 POLEGADA</v>
          </cell>
          <cell r="C2488" t="str">
            <v>UN</v>
          </cell>
          <cell r="D2488">
            <v>34.44</v>
          </cell>
        </row>
        <row r="2489">
          <cell r="A2489" t="str">
            <v>167009</v>
          </cell>
          <cell r="B2489" t="str">
            <v>DIAMETRO 28 POLEGADA</v>
          </cell>
          <cell r="C2489" t="str">
            <v>UN</v>
          </cell>
          <cell r="D2489">
            <v>52.17</v>
          </cell>
        </row>
        <row r="2490">
          <cell r="A2490" t="str">
            <v>167010</v>
          </cell>
          <cell r="B2490" t="str">
            <v>DIAMETRO 30 POLEGADA</v>
          </cell>
          <cell r="C2490" t="str">
            <v>UN</v>
          </cell>
          <cell r="D2490">
            <v>52.17</v>
          </cell>
        </row>
        <row r="2491">
          <cell r="A2491" t="str">
            <v>167011</v>
          </cell>
          <cell r="B2491" t="str">
            <v>DIAMETRO 32 POLEGADA</v>
          </cell>
          <cell r="C2491" t="str">
            <v>UN</v>
          </cell>
          <cell r="D2491">
            <v>56.33</v>
          </cell>
        </row>
        <row r="2492">
          <cell r="A2492" t="str">
            <v>167012</v>
          </cell>
          <cell r="B2492" t="str">
            <v>DIAMETRO 36 POLEGADA</v>
          </cell>
          <cell r="C2492" t="str">
            <v>UN</v>
          </cell>
          <cell r="D2492">
            <v>64.7</v>
          </cell>
        </row>
        <row r="2493">
          <cell r="A2493" t="str">
            <v>167013</v>
          </cell>
          <cell r="B2493" t="str">
            <v>DIAMETRO 40 POLEGADA</v>
          </cell>
          <cell r="C2493" t="str">
            <v>UN</v>
          </cell>
          <cell r="D2493">
            <v>73.010000000000005</v>
          </cell>
        </row>
        <row r="2495">
          <cell r="A2495" t="str">
            <v>167100</v>
          </cell>
          <cell r="B2495" t="str">
            <v>ASSENTAMENTO DE TUBOS PVC RIGIDO (MONTAGEM) EB-892</v>
          </cell>
        </row>
        <row r="2496">
          <cell r="A2496" t="str">
            <v>167101</v>
          </cell>
          <cell r="B2496" t="str">
            <v>DIAMETRO 1/2 POLEGADA</v>
          </cell>
          <cell r="C2496" t="str">
            <v>M</v>
          </cell>
          <cell r="D2496">
            <v>2.54</v>
          </cell>
        </row>
        <row r="2497">
          <cell r="A2497" t="str">
            <v>167102</v>
          </cell>
          <cell r="B2497" t="str">
            <v>DIAMETRO 3/4 POLEGADA</v>
          </cell>
          <cell r="C2497" t="str">
            <v>M</v>
          </cell>
          <cell r="D2497">
            <v>2.54</v>
          </cell>
        </row>
        <row r="2498">
          <cell r="A2498" t="str">
            <v>167103</v>
          </cell>
          <cell r="B2498" t="str">
            <v>DIAMETRO 1 POLEGADA</v>
          </cell>
          <cell r="C2498" t="str">
            <v>M</v>
          </cell>
          <cell r="D2498">
            <v>2.54</v>
          </cell>
        </row>
        <row r="2499">
          <cell r="A2499" t="str">
            <v>167104</v>
          </cell>
          <cell r="B2499" t="str">
            <v>DIAMETRO 1 1/4 POLEGADA</v>
          </cell>
          <cell r="C2499" t="str">
            <v>M</v>
          </cell>
          <cell r="D2499">
            <v>2.85</v>
          </cell>
        </row>
        <row r="2500">
          <cell r="A2500" t="str">
            <v>167105</v>
          </cell>
          <cell r="B2500" t="str">
            <v>DIAMETRO 1 1/2 POLEGADA</v>
          </cell>
          <cell r="C2500" t="str">
            <v>M</v>
          </cell>
          <cell r="D2500">
            <v>2.85</v>
          </cell>
        </row>
        <row r="2501">
          <cell r="A2501" t="str">
            <v>167106</v>
          </cell>
          <cell r="B2501" t="str">
            <v>DIAMETRO 2 POLEGADA</v>
          </cell>
          <cell r="C2501" t="str">
            <v>M</v>
          </cell>
          <cell r="D2501">
            <v>3.17</v>
          </cell>
        </row>
        <row r="2502">
          <cell r="A2502" t="str">
            <v>167107</v>
          </cell>
          <cell r="B2502" t="str">
            <v>DIAMETRO 2 1/2 POLEGADA</v>
          </cell>
          <cell r="C2502" t="str">
            <v>M</v>
          </cell>
          <cell r="D2502">
            <v>3.19</v>
          </cell>
        </row>
        <row r="2503">
          <cell r="A2503" t="str">
            <v>167108</v>
          </cell>
          <cell r="B2503" t="str">
            <v>DIAMETRO 3 POLEGADA</v>
          </cell>
          <cell r="C2503" t="str">
            <v>M</v>
          </cell>
          <cell r="D2503">
            <v>3.6</v>
          </cell>
        </row>
        <row r="2504">
          <cell r="A2504" t="str">
            <v>167109</v>
          </cell>
          <cell r="B2504" t="str">
            <v>DIAMETRO 4 POLEGADA</v>
          </cell>
          <cell r="C2504" t="str">
            <v>M</v>
          </cell>
          <cell r="D2504">
            <v>3.99</v>
          </cell>
        </row>
        <row r="2505">
          <cell r="A2505" t="str">
            <v>167110</v>
          </cell>
          <cell r="B2505" t="str">
            <v>DIAMETRO 5 POLEGADA</v>
          </cell>
          <cell r="C2505" t="str">
            <v>M</v>
          </cell>
          <cell r="D2505">
            <v>4.24</v>
          </cell>
        </row>
        <row r="2506">
          <cell r="A2506" t="str">
            <v>167111</v>
          </cell>
          <cell r="B2506" t="str">
            <v>DIAMETRO 6 POLEGADA</v>
          </cell>
          <cell r="C2506" t="str">
            <v>M</v>
          </cell>
          <cell r="D2506">
            <v>4.42</v>
          </cell>
        </row>
        <row r="2508">
          <cell r="A2508" t="str">
            <v>167200</v>
          </cell>
          <cell r="B2508" t="str">
            <v>CONEXOES PVC SOLDAVEIS (EB-892)</v>
          </cell>
        </row>
        <row r="2509">
          <cell r="A2509" t="str">
            <v>167201</v>
          </cell>
          <cell r="B2509" t="str">
            <v>DIAMETRO 1/2 POLEGADA</v>
          </cell>
          <cell r="C2509" t="str">
            <v>UN</v>
          </cell>
          <cell r="D2509">
            <v>0.87</v>
          </cell>
        </row>
        <row r="2510">
          <cell r="A2510" t="str">
            <v>167202</v>
          </cell>
          <cell r="B2510" t="str">
            <v>DIAMETRO 3/4 POLEGADA</v>
          </cell>
          <cell r="C2510" t="str">
            <v>UN</v>
          </cell>
          <cell r="D2510">
            <v>1.34</v>
          </cell>
        </row>
        <row r="2511">
          <cell r="A2511" t="str">
            <v>167203</v>
          </cell>
          <cell r="B2511" t="str">
            <v>DIAMETRO 1 POLEGADA</v>
          </cell>
          <cell r="C2511" t="str">
            <v>UN</v>
          </cell>
          <cell r="D2511">
            <v>1.8</v>
          </cell>
        </row>
        <row r="2512">
          <cell r="A2512" t="str">
            <v>167204</v>
          </cell>
          <cell r="B2512" t="str">
            <v>DIAMETRO 1 1/4 POLEGADA</v>
          </cell>
          <cell r="C2512" t="str">
            <v>UN</v>
          </cell>
          <cell r="D2512">
            <v>2.2599999999999998</v>
          </cell>
        </row>
        <row r="2513">
          <cell r="A2513" t="str">
            <v>167205</v>
          </cell>
          <cell r="B2513" t="str">
            <v>DIAMETRO 1 1/2 POLEGADA</v>
          </cell>
          <cell r="C2513" t="str">
            <v>UN</v>
          </cell>
          <cell r="D2513">
            <v>2.71</v>
          </cell>
        </row>
        <row r="2514">
          <cell r="A2514" t="str">
            <v>167206</v>
          </cell>
          <cell r="B2514" t="str">
            <v>DIAMETRO 2 POLEGADA</v>
          </cell>
          <cell r="C2514" t="str">
            <v>UN</v>
          </cell>
          <cell r="D2514">
            <v>3.68</v>
          </cell>
        </row>
        <row r="2515">
          <cell r="A2515" t="str">
            <v>167207</v>
          </cell>
          <cell r="B2515" t="str">
            <v>DIAMETRO 2 1/2 POLEGADA</v>
          </cell>
          <cell r="C2515" t="str">
            <v>UN</v>
          </cell>
          <cell r="D2515">
            <v>4.5999999999999996</v>
          </cell>
        </row>
        <row r="2516">
          <cell r="A2516" t="str">
            <v>167208</v>
          </cell>
          <cell r="B2516" t="str">
            <v>DIAMETRO 3 POLEGADA</v>
          </cell>
          <cell r="C2516" t="str">
            <v>UN</v>
          </cell>
          <cell r="D2516">
            <v>5.5</v>
          </cell>
        </row>
        <row r="2517">
          <cell r="A2517" t="str">
            <v>167209</v>
          </cell>
          <cell r="B2517" t="str">
            <v>DIAMETRO 4 POLEGADA</v>
          </cell>
          <cell r="C2517" t="str">
            <v>UN</v>
          </cell>
          <cell r="D2517">
            <v>7.4</v>
          </cell>
        </row>
        <row r="2518">
          <cell r="A2518" t="str">
            <v>167210</v>
          </cell>
          <cell r="B2518" t="str">
            <v>DIAMETRO 5 POLEGADA</v>
          </cell>
          <cell r="C2518" t="str">
            <v>UN</v>
          </cell>
          <cell r="D2518">
            <v>9.27</v>
          </cell>
        </row>
        <row r="2519">
          <cell r="A2519" t="str">
            <v>167211</v>
          </cell>
          <cell r="B2519" t="str">
            <v>DIAMETRO 6 POLEGADA</v>
          </cell>
          <cell r="C2519" t="str">
            <v>UN</v>
          </cell>
          <cell r="D2519">
            <v>11.1</v>
          </cell>
        </row>
        <row r="2521">
          <cell r="A2521" t="str">
            <v>167300</v>
          </cell>
          <cell r="B2521" t="str">
            <v>CONEXOES DE PVC ROSQUEAVEIS</v>
          </cell>
        </row>
        <row r="2522">
          <cell r="A2522" t="str">
            <v>167301</v>
          </cell>
          <cell r="B2522" t="str">
            <v>DIAMETRO 1/2 POLEGADA</v>
          </cell>
          <cell r="C2522" t="str">
            <v>UN</v>
          </cell>
          <cell r="D2522">
            <v>2.2000000000000002</v>
          </cell>
        </row>
        <row r="2523">
          <cell r="A2523" t="str">
            <v>167302</v>
          </cell>
          <cell r="B2523" t="str">
            <v>DIAMETRO 3/4 POLEGADA</v>
          </cell>
          <cell r="C2523" t="str">
            <v>UN</v>
          </cell>
          <cell r="D2523">
            <v>3.31</v>
          </cell>
        </row>
        <row r="2524">
          <cell r="A2524" t="str">
            <v>167303</v>
          </cell>
          <cell r="B2524" t="str">
            <v>DIAMETRO 1 POLEGADA</v>
          </cell>
          <cell r="C2524" t="str">
            <v>UN</v>
          </cell>
          <cell r="D2524">
            <v>4.45</v>
          </cell>
        </row>
        <row r="2525">
          <cell r="A2525" t="str">
            <v>167304</v>
          </cell>
          <cell r="B2525" t="str">
            <v>DIAMETRO 1 1/4 POLEGADA</v>
          </cell>
          <cell r="C2525" t="str">
            <v>UN</v>
          </cell>
          <cell r="D2525">
            <v>5.58</v>
          </cell>
        </row>
        <row r="2526">
          <cell r="A2526" t="str">
            <v>167305</v>
          </cell>
          <cell r="B2526" t="str">
            <v>DIAMETRO 1 1/2 POLEGADA</v>
          </cell>
          <cell r="C2526" t="str">
            <v>UN</v>
          </cell>
          <cell r="D2526">
            <v>6.71</v>
          </cell>
        </row>
        <row r="2527">
          <cell r="A2527" t="str">
            <v>167306</v>
          </cell>
          <cell r="B2527" t="str">
            <v>DIAMETRO 2 POLEGADA</v>
          </cell>
          <cell r="C2527" t="str">
            <v>UN</v>
          </cell>
          <cell r="D2527">
            <v>8.9499999999999993</v>
          </cell>
        </row>
        <row r="2528">
          <cell r="A2528" t="str">
            <v>167307</v>
          </cell>
          <cell r="B2528" t="str">
            <v>DIAMETRO 2 1/2 POLEGADA</v>
          </cell>
          <cell r="C2528" t="str">
            <v>UN</v>
          </cell>
          <cell r="D2528">
            <v>11.21</v>
          </cell>
        </row>
        <row r="2529">
          <cell r="A2529" t="str">
            <v>167308</v>
          </cell>
          <cell r="B2529" t="str">
            <v>DIAMETRO 3 POLEGADA</v>
          </cell>
          <cell r="C2529" t="str">
            <v>UN</v>
          </cell>
          <cell r="D2529">
            <v>13.45</v>
          </cell>
        </row>
        <row r="2530">
          <cell r="A2530" t="str">
            <v>167309</v>
          </cell>
          <cell r="B2530" t="str">
            <v>DIAMETRO 4 POLEGADA</v>
          </cell>
          <cell r="C2530" t="str">
            <v>UN</v>
          </cell>
          <cell r="D2530">
            <v>17.95</v>
          </cell>
        </row>
        <row r="2531">
          <cell r="A2531" t="str">
            <v>167310</v>
          </cell>
          <cell r="B2531" t="str">
            <v>DIAMETRO 6 POLEGADA</v>
          </cell>
          <cell r="C2531" t="str">
            <v>UN</v>
          </cell>
          <cell r="D2531">
            <v>26.97</v>
          </cell>
        </row>
        <row r="2533">
          <cell r="A2533" t="str">
            <v>170000</v>
          </cell>
          <cell r="B2533" t="str">
            <v>URBANIZACAO</v>
          </cell>
        </row>
        <row r="2534">
          <cell r="A2534" t="str">
            <v>170100</v>
          </cell>
          <cell r="B2534" t="str">
            <v>PORTOES, CERCAS, MUROS E ALAMBRADOS</v>
          </cell>
        </row>
        <row r="2535">
          <cell r="A2535" t="str">
            <v>170101</v>
          </cell>
          <cell r="B2535" t="str">
            <v>PORTAO DE TELA</v>
          </cell>
          <cell r="C2535" t="str">
            <v>M2</v>
          </cell>
          <cell r="D2535">
            <v>356.62</v>
          </cell>
        </row>
        <row r="2536">
          <cell r="A2536" t="str">
            <v>170102</v>
          </cell>
          <cell r="B2536" t="str">
            <v>CERCA DE ARAME FARPADO - 5 FIOS</v>
          </cell>
          <cell r="C2536" t="str">
            <v>M</v>
          </cell>
          <cell r="D2536">
            <v>15.54</v>
          </cell>
        </row>
        <row r="2537">
          <cell r="A2537" t="str">
            <v>170103</v>
          </cell>
          <cell r="B2537" t="str">
            <v>CERCA DE ARAME FARPADO - 11 FIOS</v>
          </cell>
          <cell r="C2537" t="str">
            <v>M</v>
          </cell>
          <cell r="D2537">
            <v>26.28</v>
          </cell>
        </row>
        <row r="2538">
          <cell r="A2538" t="str">
            <v>170104</v>
          </cell>
          <cell r="B2538" t="str">
            <v>ALAMBRADO</v>
          </cell>
          <cell r="C2538" t="str">
            <v>M</v>
          </cell>
          <cell r="D2538">
            <v>52.36</v>
          </cell>
        </row>
        <row r="2540">
          <cell r="A2540" t="str">
            <v>170200</v>
          </cell>
          <cell r="B2540" t="str">
            <v>PAISAGISMO</v>
          </cell>
        </row>
        <row r="2541">
          <cell r="A2541" t="str">
            <v>170201</v>
          </cell>
          <cell r="B2541" t="str">
            <v>PLANTIO DE GRAMA EM PLACAS</v>
          </cell>
          <cell r="C2541" t="str">
            <v>M2</v>
          </cell>
          <cell r="D2541">
            <v>3.75</v>
          </cell>
        </row>
        <row r="2542">
          <cell r="A2542" t="str">
            <v>170202</v>
          </cell>
          <cell r="B2542" t="str">
            <v>PLANTIO DE ARBUSTOS H &lt;= 1,00 M</v>
          </cell>
          <cell r="C2542" t="str">
            <v>UN</v>
          </cell>
          <cell r="D2542">
            <v>12.47</v>
          </cell>
        </row>
        <row r="2543">
          <cell r="A2543" t="str">
            <v>170203</v>
          </cell>
          <cell r="B2543" t="str">
            <v>PLANTIO DE ARVORES H=&gt; 2,00 M</v>
          </cell>
          <cell r="C2543" t="str">
            <v>UN</v>
          </cell>
          <cell r="D2543">
            <v>45.95</v>
          </cell>
        </row>
        <row r="2545">
          <cell r="A2545" t="str">
            <v>170300</v>
          </cell>
          <cell r="B2545" t="str">
            <v>ESCADA EM TALUDE</v>
          </cell>
        </row>
        <row r="2546">
          <cell r="A2546" t="str">
            <v>170301</v>
          </cell>
          <cell r="B2546" t="str">
            <v>ESCADA EM TALUDE</v>
          </cell>
          <cell r="C2546" t="str">
            <v>M3</v>
          </cell>
          <cell r="D2546">
            <v>596.66</v>
          </cell>
        </row>
        <row r="2548">
          <cell r="A2548" t="str">
            <v>180000</v>
          </cell>
          <cell r="B2548" t="str">
            <v>SERVICOS DIVERSOS</v>
          </cell>
        </row>
        <row r="2549">
          <cell r="A2549" t="str">
            <v>180100</v>
          </cell>
          <cell r="B2549" t="str">
            <v>INTERLIGACOES COM REDES DE AGUA EXISTENTES</v>
          </cell>
        </row>
        <row r="2550">
          <cell r="A2550" t="str">
            <v>180101</v>
          </cell>
          <cell r="B2550" t="str">
            <v>DIAMETRO 50 MM - LUVA TRIPARTIDA</v>
          </cell>
          <cell r="C2550" t="str">
            <v>UN</v>
          </cell>
          <cell r="D2550">
            <v>56.92</v>
          </cell>
        </row>
        <row r="2551">
          <cell r="A2551" t="str">
            <v>180102</v>
          </cell>
          <cell r="B2551" t="str">
            <v>DIAMETRO 75 MM - LUVA TRIPARTIDA</v>
          </cell>
          <cell r="C2551" t="str">
            <v>UN</v>
          </cell>
          <cell r="D2551">
            <v>70.510000000000005</v>
          </cell>
        </row>
        <row r="2552">
          <cell r="A2552" t="str">
            <v>180103</v>
          </cell>
          <cell r="B2552" t="str">
            <v>DIAMETRO 100 MM - LUVA TRIPARTIDA</v>
          </cell>
          <cell r="C2552" t="str">
            <v>UN</v>
          </cell>
          <cell r="D2552">
            <v>73.08</v>
          </cell>
        </row>
        <row r="2553">
          <cell r="A2553" t="str">
            <v>180104</v>
          </cell>
          <cell r="B2553" t="str">
            <v>DIAMETRO 150 MM - LUVA TRIPARTIDA</v>
          </cell>
          <cell r="C2553" t="str">
            <v>UN</v>
          </cell>
          <cell r="D2553">
            <v>77.599999999999994</v>
          </cell>
        </row>
        <row r="2554">
          <cell r="A2554" t="str">
            <v>180105</v>
          </cell>
          <cell r="B2554" t="str">
            <v>DIAMETRO 200 MM - LUVA TRIPARTIDA</v>
          </cell>
          <cell r="C2554" t="str">
            <v>UN</v>
          </cell>
          <cell r="D2554">
            <v>80.27</v>
          </cell>
        </row>
        <row r="2555">
          <cell r="A2555" t="str">
            <v>180106</v>
          </cell>
          <cell r="B2555" t="str">
            <v>DIAMETRO 250 MM - LUVA TRIPARTIDA</v>
          </cell>
          <cell r="C2555" t="str">
            <v>UN</v>
          </cell>
          <cell r="D2555">
            <v>102.75</v>
          </cell>
        </row>
        <row r="2556">
          <cell r="A2556" t="str">
            <v>180107</v>
          </cell>
          <cell r="B2556" t="str">
            <v>DIAMETRO 300 MM - LUVA TRIPARTIDA</v>
          </cell>
          <cell r="C2556" t="str">
            <v>UN</v>
          </cell>
          <cell r="D2556">
            <v>131.69</v>
          </cell>
        </row>
        <row r="2557">
          <cell r="A2557" t="str">
            <v>180108</v>
          </cell>
          <cell r="B2557" t="str">
            <v>DIAMETRO 350 MM - LUVA TRIPARTIDA</v>
          </cell>
          <cell r="C2557" t="str">
            <v>UN</v>
          </cell>
          <cell r="D2557">
            <v>144.09</v>
          </cell>
        </row>
        <row r="2558">
          <cell r="A2558" t="str">
            <v>180109</v>
          </cell>
          <cell r="B2558" t="str">
            <v>DIAMETRO 400 MM - LUVA TRIPARTIDA</v>
          </cell>
          <cell r="C2558" t="str">
            <v>UN</v>
          </cell>
          <cell r="D2558">
            <v>150.72</v>
          </cell>
        </row>
        <row r="2559">
          <cell r="A2559" t="str">
            <v>180110</v>
          </cell>
          <cell r="B2559" t="str">
            <v>DIAMETRO 500 MM - LUVA TRIPARTIDA</v>
          </cell>
          <cell r="C2559" t="str">
            <v>UN</v>
          </cell>
          <cell r="D2559">
            <v>179.27</v>
          </cell>
        </row>
        <row r="2560">
          <cell r="A2560" t="str">
            <v>180111</v>
          </cell>
          <cell r="B2560" t="str">
            <v>DIAMETRO 50  MM - CONVENCIONAL - PVC</v>
          </cell>
          <cell r="C2560" t="str">
            <v>UN</v>
          </cell>
          <cell r="D2560">
            <v>90.46</v>
          </cell>
        </row>
        <row r="2561">
          <cell r="A2561" t="str">
            <v>180112</v>
          </cell>
          <cell r="B2561" t="str">
            <v>DIAMETRO 75 MM - CONVENCIONAL - PVC</v>
          </cell>
          <cell r="C2561" t="str">
            <v>UN</v>
          </cell>
          <cell r="D2561">
            <v>94.05</v>
          </cell>
        </row>
        <row r="2562">
          <cell r="A2562" t="str">
            <v>180113</v>
          </cell>
          <cell r="B2562" t="str">
            <v>DIAMETRO 100 MM - CONVENCIONAL - PVC</v>
          </cell>
          <cell r="C2562" t="str">
            <v>UN</v>
          </cell>
          <cell r="D2562">
            <v>97.18</v>
          </cell>
        </row>
        <row r="2563">
          <cell r="A2563" t="str">
            <v>180114</v>
          </cell>
          <cell r="B2563" t="str">
            <v>DIAMETRO 50 MM - CONVENCIONAL - FERRO FUNDIDO</v>
          </cell>
          <cell r="C2563" t="str">
            <v>UN</v>
          </cell>
          <cell r="D2563">
            <v>105.7</v>
          </cell>
        </row>
        <row r="2564">
          <cell r="A2564" t="str">
            <v>180115</v>
          </cell>
          <cell r="B2564" t="str">
            <v>DIAMETRO 75 MM - CONVENCIONAL - FERRO FUNDIDO</v>
          </cell>
          <cell r="C2564" t="str">
            <v>UN</v>
          </cell>
          <cell r="D2564">
            <v>109.29</v>
          </cell>
        </row>
        <row r="2565">
          <cell r="A2565" t="str">
            <v>180116</v>
          </cell>
          <cell r="B2565" t="str">
            <v>DIAMETRO 100MM - CONVENCIONAL - FERRO FUNDIDO</v>
          </cell>
          <cell r="C2565" t="str">
            <v>UN</v>
          </cell>
          <cell r="D2565">
            <v>112.42</v>
          </cell>
        </row>
        <row r="2566">
          <cell r="A2566" t="str">
            <v>180117</v>
          </cell>
          <cell r="B2566" t="str">
            <v>DIAMETRO 150MM - CONVENCIONAL - FERRO FUNDIDO</v>
          </cell>
          <cell r="C2566" t="str">
            <v>UN</v>
          </cell>
          <cell r="D2566">
            <v>140.80000000000001</v>
          </cell>
        </row>
        <row r="2567">
          <cell r="A2567" t="str">
            <v>180118</v>
          </cell>
          <cell r="B2567" t="str">
            <v>DIAMETRO 200MM - CONVENCIONAL - FERRO FUNDIDO</v>
          </cell>
          <cell r="C2567" t="str">
            <v>UN</v>
          </cell>
          <cell r="D2567">
            <v>148.21</v>
          </cell>
        </row>
        <row r="2568">
          <cell r="A2568" t="str">
            <v>180119</v>
          </cell>
          <cell r="B2568" t="str">
            <v>DIAMETRO 250MM - CONVENCIONAL - FERRO FUNDIDO</v>
          </cell>
          <cell r="C2568" t="str">
            <v>UN</v>
          </cell>
          <cell r="D2568">
            <v>180.62</v>
          </cell>
        </row>
        <row r="2569">
          <cell r="A2569" t="str">
            <v>180120</v>
          </cell>
          <cell r="B2569" t="str">
            <v>DIAMETRO 300MM - CONVENCIONAL - FERRO FUNDIDO</v>
          </cell>
          <cell r="C2569" t="str">
            <v>UN</v>
          </cell>
          <cell r="D2569">
            <v>191.93</v>
          </cell>
        </row>
        <row r="2570">
          <cell r="A2570" t="str">
            <v>180121</v>
          </cell>
          <cell r="B2570" t="str">
            <v>DIAMETRO 350MM - CONVENCIONAL - FERRO FUNDIDO</v>
          </cell>
          <cell r="C2570" t="str">
            <v>UN</v>
          </cell>
          <cell r="D2570">
            <v>244.9</v>
          </cell>
        </row>
        <row r="2571">
          <cell r="A2571" t="str">
            <v>180122</v>
          </cell>
          <cell r="B2571" t="str">
            <v>DIAMETRO 400MM - CONVENCIONAL - FERRO FUNDIDO</v>
          </cell>
          <cell r="C2571" t="str">
            <v>UN</v>
          </cell>
          <cell r="D2571">
            <v>260.49</v>
          </cell>
        </row>
        <row r="2572">
          <cell r="A2572" t="str">
            <v>180123</v>
          </cell>
          <cell r="B2572" t="str">
            <v>DIAMETRO 500MM - CONVENCIONAL - FERRO FUNDIDO</v>
          </cell>
          <cell r="C2572" t="str">
            <v>UN</v>
          </cell>
          <cell r="D2572">
            <v>343.6</v>
          </cell>
        </row>
        <row r="2573">
          <cell r="A2573" t="str">
            <v>180124</v>
          </cell>
          <cell r="B2573" t="str">
            <v>DIAMETRO 600MM - CONVENCIONAL - FERRO FUNDIDO</v>
          </cell>
          <cell r="C2573" t="str">
            <v>UN</v>
          </cell>
          <cell r="D2573">
            <v>502.72</v>
          </cell>
        </row>
        <row r="2574">
          <cell r="A2574" t="str">
            <v>180125</v>
          </cell>
          <cell r="B2574" t="str">
            <v>DIAMETRO 700MM - CONVENCIONAL - FERRO FUNDIDO</v>
          </cell>
          <cell r="C2574" t="str">
            <v>UN</v>
          </cell>
          <cell r="D2574">
            <v>650.84</v>
          </cell>
        </row>
        <row r="2575">
          <cell r="A2575" t="str">
            <v>180126</v>
          </cell>
          <cell r="B2575" t="str">
            <v>DIAMETRO 800MM - CONVENCIONAL - FERRO FUNDIDO</v>
          </cell>
          <cell r="C2575" t="str">
            <v>UN</v>
          </cell>
          <cell r="D2575">
            <v>806.16</v>
          </cell>
        </row>
        <row r="2576">
          <cell r="A2576" t="str">
            <v>180127</v>
          </cell>
          <cell r="B2576" t="str">
            <v>DIAMETRO  50 MM - CONVENCIONAL</v>
          </cell>
          <cell r="C2576" t="str">
            <v>UN</v>
          </cell>
          <cell r="D2576">
            <v>93.04</v>
          </cell>
        </row>
        <row r="2577">
          <cell r="A2577" t="str">
            <v>180128</v>
          </cell>
          <cell r="B2577" t="str">
            <v>DIAMETRO  75 MM - CONVENCIONAL</v>
          </cell>
          <cell r="C2577" t="str">
            <v>UN</v>
          </cell>
          <cell r="D2577">
            <v>96.63</v>
          </cell>
        </row>
        <row r="2578">
          <cell r="A2578" t="str">
            <v>180129</v>
          </cell>
          <cell r="B2578" t="str">
            <v>DIAMETRO 100 MM - CONVENCIONAL</v>
          </cell>
          <cell r="C2578" t="str">
            <v>UN</v>
          </cell>
          <cell r="D2578">
            <v>99.76</v>
          </cell>
        </row>
        <row r="2579">
          <cell r="A2579" t="str">
            <v>180130</v>
          </cell>
          <cell r="B2579" t="str">
            <v>DIAMETRO 150 MM - CONVENCIONAL</v>
          </cell>
          <cell r="C2579" t="str">
            <v>UN</v>
          </cell>
          <cell r="D2579">
            <v>116.74</v>
          </cell>
        </row>
        <row r="2580">
          <cell r="A2580" t="str">
            <v>180131</v>
          </cell>
          <cell r="B2580" t="str">
            <v>DIAMETRO 200 MM - CONVENCIONAL</v>
          </cell>
          <cell r="C2580" t="str">
            <v>UN</v>
          </cell>
          <cell r="D2580">
            <v>125.63</v>
          </cell>
        </row>
        <row r="2581">
          <cell r="A2581" t="str">
            <v>180132</v>
          </cell>
          <cell r="B2581" t="str">
            <v>DIAMETRO 250 MM - CONVENCIONAL</v>
          </cell>
          <cell r="C2581" t="str">
            <v>UN</v>
          </cell>
          <cell r="D2581">
            <v>151.47999999999999</v>
          </cell>
        </row>
        <row r="2582">
          <cell r="A2582" t="str">
            <v>180133</v>
          </cell>
          <cell r="B2582" t="str">
            <v>DIAMETRO 300 MM - CONVENCIONAL</v>
          </cell>
          <cell r="C2582" t="str">
            <v>UN</v>
          </cell>
          <cell r="D2582">
            <v>163.01</v>
          </cell>
        </row>
        <row r="2583">
          <cell r="A2583" t="str">
            <v>180134</v>
          </cell>
          <cell r="B2583" t="str">
            <v>DIAMETRO 350 MM - CONVENCIONAL</v>
          </cell>
          <cell r="C2583" t="str">
            <v>UN</v>
          </cell>
          <cell r="D2583">
            <v>207.09</v>
          </cell>
        </row>
        <row r="2584">
          <cell r="A2584" t="str">
            <v>180135</v>
          </cell>
          <cell r="B2584" t="str">
            <v>DIAMETRO 400 MM - CONVENCIONAL</v>
          </cell>
          <cell r="C2584" t="str">
            <v>UN</v>
          </cell>
          <cell r="D2584">
            <v>222.68</v>
          </cell>
        </row>
        <row r="2585">
          <cell r="A2585" t="str">
            <v>180136</v>
          </cell>
          <cell r="B2585" t="str">
            <v>DIAMETRO 450 MM - CONVENCIONAL</v>
          </cell>
          <cell r="C2585" t="str">
            <v>UN</v>
          </cell>
          <cell r="D2585">
            <v>295.44</v>
          </cell>
        </row>
        <row r="2587">
          <cell r="A2587" t="str">
            <v>180200</v>
          </cell>
          <cell r="B2587" t="str">
            <v>VIGA DE PEROBA APARELHADA</v>
          </cell>
        </row>
        <row r="2588">
          <cell r="A2588" t="str">
            <v>180201</v>
          </cell>
          <cell r="B2588" t="str">
            <v>(6 X 12)CM</v>
          </cell>
          <cell r="C2588" t="str">
            <v>M</v>
          </cell>
          <cell r="D2588">
            <v>9.31</v>
          </cell>
        </row>
        <row r="2589">
          <cell r="A2589" t="str">
            <v>180202</v>
          </cell>
          <cell r="B2589" t="str">
            <v>(6 X 16)CM</v>
          </cell>
          <cell r="C2589" t="str">
            <v>M</v>
          </cell>
          <cell r="D2589">
            <v>10.28</v>
          </cell>
        </row>
        <row r="2591">
          <cell r="A2591" t="str">
            <v>180300</v>
          </cell>
          <cell r="B2591" t="str">
            <v>ENCHIMENTO DA LAGOA</v>
          </cell>
        </row>
        <row r="2592">
          <cell r="A2592" t="str">
            <v>180301</v>
          </cell>
          <cell r="B2592" t="str">
            <v>ENCHIMENTO DA LAGOA</v>
          </cell>
          <cell r="C2592" t="str">
            <v>HPXH</v>
          </cell>
          <cell r="D2592">
            <v>0.15</v>
          </cell>
        </row>
        <row r="2594">
          <cell r="A2594" t="str">
            <v>200000</v>
          </cell>
          <cell r="B2594" t="str">
            <v>SERVICOS REFERENTES A POCOS TUBULARES PROFUNDOS</v>
          </cell>
        </row>
        <row r="2595">
          <cell r="A2595" t="str">
            <v>200100</v>
          </cell>
          <cell r="B2595" t="str">
            <v>CANTEIRO DE OBRAS</v>
          </cell>
        </row>
        <row r="2596">
          <cell r="A2596" t="str">
            <v>200101</v>
          </cell>
          <cell r="B2596" t="str">
            <v>INSTALACAO DO CANTEIRO - PERCUSSAO</v>
          </cell>
          <cell r="C2596" t="str">
            <v>GB</v>
          </cell>
          <cell r="D2596">
            <v>5534.32</v>
          </cell>
        </row>
        <row r="2597">
          <cell r="A2597" t="str">
            <v>200102</v>
          </cell>
          <cell r="B2597" t="str">
            <v>INSTALACAO DO CANTEIRO - ROTO-PERCUSSAO</v>
          </cell>
          <cell r="C2597" t="str">
            <v>GB</v>
          </cell>
          <cell r="D2597">
            <v>9759.06</v>
          </cell>
        </row>
        <row r="2598">
          <cell r="A2598" t="str">
            <v>200103</v>
          </cell>
          <cell r="B2598" t="str">
            <v>INSTALACAO DO CANTEIRO - ROTATIVA EQ. ATE 300 M</v>
          </cell>
          <cell r="C2598" t="str">
            <v>GB</v>
          </cell>
          <cell r="D2598">
            <v>6224.43</v>
          </cell>
        </row>
        <row r="2599">
          <cell r="A2599" t="str">
            <v>200104</v>
          </cell>
          <cell r="B2599" t="str">
            <v>INSTALACAO DO CANTEIRO - ROTATIVA EQ. DE 301 A   600 M</v>
          </cell>
          <cell r="C2599" t="str">
            <v>GB</v>
          </cell>
          <cell r="D2599">
            <v>22218.66</v>
          </cell>
        </row>
        <row r="2600">
          <cell r="A2600" t="str">
            <v>200105</v>
          </cell>
          <cell r="B2600" t="str">
            <v>INSTALACAO DO CANTEIRO - ROTATIVA EQ. DE 601 A 1.000 M</v>
          </cell>
          <cell r="C2600" t="str">
            <v>GB</v>
          </cell>
          <cell r="D2600">
            <v>60084.69</v>
          </cell>
        </row>
        <row r="2601">
          <cell r="A2601" t="str">
            <v>200106</v>
          </cell>
          <cell r="B2601" t="str">
            <v>INSTALACAO DO CANTEIRO - ROTATIVA EQ. ACIMA DE 1.001 M</v>
          </cell>
          <cell r="C2601" t="str">
            <v>GB</v>
          </cell>
          <cell r="D2601">
            <v>71914.8</v>
          </cell>
        </row>
        <row r="2603">
          <cell r="A2603" t="str">
            <v>200200</v>
          </cell>
          <cell r="B2603" t="str">
            <v>TRANSPORTE DE MATERIAIS E EQUIPAMENTOS</v>
          </cell>
        </row>
        <row r="2604">
          <cell r="A2604" t="str">
            <v>200201</v>
          </cell>
          <cell r="B2604" t="str">
            <v>REVESTIMENTO - TUBOS DE ACO LISO-DIST.DE TRANSPORTE ATE 100 KM</v>
          </cell>
          <cell r="C2604" t="str">
            <v>TXKM</v>
          </cell>
          <cell r="D2604">
            <v>0.28999999999999998</v>
          </cell>
        </row>
        <row r="2605">
          <cell r="A2605" t="str">
            <v>200202</v>
          </cell>
          <cell r="B2605" t="str">
            <v>REVESTIMENTO - TUBOS DE ACO LISO-DIST.DE TRANSPORTE DE 101 KM ATE 300 KM</v>
          </cell>
          <cell r="C2605" t="str">
            <v>TXKM</v>
          </cell>
          <cell r="D2605">
            <v>0.18</v>
          </cell>
        </row>
        <row r="2606">
          <cell r="A2606" t="str">
            <v>200203</v>
          </cell>
          <cell r="B2606" t="str">
            <v>REVESTIMENTO - TUBOS DE ACO LISO-DIST.DE TRANSPORTE ALEM DE 301 KM</v>
          </cell>
          <cell r="C2606" t="str">
            <v>TXKM</v>
          </cell>
          <cell r="D2606">
            <v>0.17</v>
          </cell>
        </row>
        <row r="2607">
          <cell r="A2607" t="str">
            <v>200204</v>
          </cell>
          <cell r="B2607" t="str">
            <v>REVESTIMENTO - TUBOS EM PVC-DIST.DE TRANSPORTE ATE 100 KM</v>
          </cell>
          <cell r="C2607" t="str">
            <v>KMXKM</v>
          </cell>
          <cell r="D2607">
            <v>6.22</v>
          </cell>
        </row>
        <row r="2608">
          <cell r="A2608" t="str">
            <v>200205</v>
          </cell>
          <cell r="B2608" t="str">
            <v>REVESTIMENTO - TUBOS EM PVC-DIST.DE TRANSPORTE DE 101 KM ATE 300 KM</v>
          </cell>
          <cell r="C2608" t="str">
            <v>KMXKM</v>
          </cell>
          <cell r="D2608">
            <v>5.58</v>
          </cell>
        </row>
        <row r="2609">
          <cell r="A2609" t="str">
            <v>200206</v>
          </cell>
          <cell r="B2609" t="str">
            <v>REVESTIMENTO - TUBOS EM PVC-DIST.DE TRANSPORTE ALEM DE 301 KM</v>
          </cell>
          <cell r="C2609" t="str">
            <v>KMXKM</v>
          </cell>
          <cell r="D2609">
            <v>5.58</v>
          </cell>
        </row>
        <row r="2610">
          <cell r="A2610" t="str">
            <v>200207</v>
          </cell>
          <cell r="B2610" t="str">
            <v>FILTROS ESPIRALADOS, PERFIL V, DIST.DE TRANSPORTE ATE 100 KM</v>
          </cell>
          <cell r="C2610" t="str">
            <v>KMXKM</v>
          </cell>
          <cell r="D2610">
            <v>18.690000000000001</v>
          </cell>
        </row>
        <row r="2611">
          <cell r="A2611" t="str">
            <v>200208</v>
          </cell>
          <cell r="B2611" t="str">
            <v>FILTROS ESPIRALADOS, PERFIL V-DIST.DE TRANSPORTE DE 101 KM ATE 300 KM</v>
          </cell>
          <cell r="C2611" t="str">
            <v>KMXKM</v>
          </cell>
          <cell r="D2611">
            <v>11.81</v>
          </cell>
        </row>
        <row r="2612">
          <cell r="A2612" t="str">
            <v>200209</v>
          </cell>
          <cell r="B2612" t="str">
            <v>FILTROS ESPIRALADOS, PERFIL V-DIST.DE TRANSPORTE ALEM DE 301 KM</v>
          </cell>
          <cell r="C2612" t="str">
            <v>KMXKM</v>
          </cell>
          <cell r="D2612">
            <v>11.17</v>
          </cell>
        </row>
        <row r="2613">
          <cell r="A2613" t="str">
            <v>200210</v>
          </cell>
          <cell r="B2613" t="str">
            <v>FILTROS ESTAMPADOS - DIST.DE TRANSPORTE ATE 100 KM</v>
          </cell>
          <cell r="C2613" t="str">
            <v>KMXKM</v>
          </cell>
          <cell r="D2613">
            <v>6.22</v>
          </cell>
        </row>
        <row r="2614">
          <cell r="A2614" t="str">
            <v>200211</v>
          </cell>
          <cell r="B2614" t="str">
            <v>FILTROS ESTAMPADOS - DIST. DE TRANSPORTE DE 101 KM ATE 300 KM</v>
          </cell>
          <cell r="C2614" t="str">
            <v>KMXKM</v>
          </cell>
          <cell r="D2614">
            <v>5.58</v>
          </cell>
        </row>
        <row r="2615">
          <cell r="A2615" t="str">
            <v>200212</v>
          </cell>
          <cell r="B2615" t="str">
            <v>FILTROS ESTAMPADOS - DIST. DE TRANSPORTE ALEM DE 301 KM</v>
          </cell>
          <cell r="C2615" t="str">
            <v>KMXKM</v>
          </cell>
          <cell r="D2615">
            <v>5.58</v>
          </cell>
        </row>
        <row r="2616">
          <cell r="A2616" t="str">
            <v>200213</v>
          </cell>
          <cell r="B2616" t="str">
            <v>PRE FILTROS-DIST. DE TRANSPORTE ATE 100 KM (1,5 T/M3)</v>
          </cell>
          <cell r="C2616" t="str">
            <v>TXKM</v>
          </cell>
          <cell r="D2616">
            <v>0.28999999999999998</v>
          </cell>
        </row>
        <row r="2617">
          <cell r="A2617" t="str">
            <v>200214</v>
          </cell>
          <cell r="B2617" t="str">
            <v>PRE FILTROS-DIST.DE TRANSPORTE DE 101 KM ATE 300 KM (1,5 T/M3)</v>
          </cell>
          <cell r="C2617" t="str">
            <v>TXKM</v>
          </cell>
          <cell r="D2617">
            <v>0.18</v>
          </cell>
        </row>
        <row r="2618">
          <cell r="A2618" t="str">
            <v>200215</v>
          </cell>
          <cell r="B2618" t="str">
            <v>PRE FILTROS - DIST. DE TRANSPORTE ALEM DE 301 KM (1,5 T/M3)</v>
          </cell>
          <cell r="C2618" t="str">
            <v>TXKM</v>
          </cell>
          <cell r="D2618">
            <v>0.17</v>
          </cell>
        </row>
        <row r="2619">
          <cell r="A2619" t="str">
            <v>200216</v>
          </cell>
          <cell r="B2619" t="str">
            <v>DESENVOLVIMENTO - DIST. DE TRANSPORTE ATE 100 KM</v>
          </cell>
          <cell r="C2619" t="str">
            <v>CJXKM</v>
          </cell>
          <cell r="D2619">
            <v>3.83</v>
          </cell>
        </row>
        <row r="2620">
          <cell r="A2620" t="str">
            <v>200217</v>
          </cell>
          <cell r="B2620" t="str">
            <v>DESENVOLVIMENTO-DIST. DE TRANSP. DE 101 KM ATE 300 KM</v>
          </cell>
          <cell r="C2620" t="str">
            <v>CJXKM</v>
          </cell>
          <cell r="D2620">
            <v>2.54</v>
          </cell>
        </row>
        <row r="2621">
          <cell r="A2621" t="str">
            <v>200218</v>
          </cell>
          <cell r="B2621" t="str">
            <v>DESENVOLVIMENTO - DIST. DE TRANSPORTE ALEM DE 301 KM</v>
          </cell>
          <cell r="C2621" t="str">
            <v>CJXKM</v>
          </cell>
          <cell r="D2621">
            <v>2.31</v>
          </cell>
        </row>
        <row r="2622">
          <cell r="A2622" t="str">
            <v>200219</v>
          </cell>
          <cell r="B2622" t="str">
            <v>ENSAIOS DE VAZAO COM BOMBA - DIST. DE TRANSPORTE ATE 100 KM</v>
          </cell>
          <cell r="C2622" t="str">
            <v>CJXKM</v>
          </cell>
          <cell r="D2622">
            <v>3.83</v>
          </cell>
        </row>
        <row r="2623">
          <cell r="A2623" t="str">
            <v>200220</v>
          </cell>
          <cell r="B2623" t="str">
            <v>ENSAIOS DE VAZAO COM BOMBA - DIST. DE TRANSPORTE DE 101 KM ATE 300 KM</v>
          </cell>
          <cell r="C2623" t="str">
            <v>CJXKM</v>
          </cell>
          <cell r="D2623">
            <v>2.54</v>
          </cell>
        </row>
        <row r="2624">
          <cell r="A2624" t="str">
            <v>200221</v>
          </cell>
          <cell r="B2624" t="str">
            <v>ENSAIOS DE VAZAO COM BOMBA - DIST. DE TRANSPORTE ALEM DE 301 KM</v>
          </cell>
          <cell r="C2624" t="str">
            <v>CJXKM</v>
          </cell>
          <cell r="D2624">
            <v>2.31</v>
          </cell>
        </row>
        <row r="2625">
          <cell r="A2625" t="str">
            <v>200222</v>
          </cell>
          <cell r="B2625" t="str">
            <v>FLUIDO - DIST. DE TRANSPORTE ATE 100 KM</v>
          </cell>
          <cell r="C2625" t="str">
            <v>TXKM</v>
          </cell>
          <cell r="D2625">
            <v>0.28999999999999998</v>
          </cell>
        </row>
        <row r="2626">
          <cell r="A2626" t="str">
            <v>200223</v>
          </cell>
          <cell r="B2626" t="str">
            <v>FLUIDO - DIST. DE TRANSPORTE DE 101 KM ATE 300 KM</v>
          </cell>
          <cell r="C2626" t="str">
            <v>TXKM</v>
          </cell>
          <cell r="D2626">
            <v>0.18</v>
          </cell>
        </row>
        <row r="2627">
          <cell r="A2627" t="str">
            <v>200224</v>
          </cell>
          <cell r="B2627" t="str">
            <v>FLUIDO - DIST. DE TRANSPORTE ALEM DE 301 KM</v>
          </cell>
          <cell r="C2627" t="str">
            <v>TXKM</v>
          </cell>
          <cell r="D2627">
            <v>0.17</v>
          </cell>
        </row>
        <row r="2629">
          <cell r="A2629" t="str">
            <v>200300</v>
          </cell>
          <cell r="B2629" t="str">
            <v>PERFILAGEM ELETRICA</v>
          </cell>
        </row>
        <row r="2630">
          <cell r="A2630" t="str">
            <v>200301</v>
          </cell>
          <cell r="B2630" t="str">
            <v>TAXA DE TRANSPORTE</v>
          </cell>
          <cell r="C2630" t="str">
            <v>KM</v>
          </cell>
          <cell r="D2630">
            <v>2.12</v>
          </cell>
        </row>
        <row r="2631">
          <cell r="A2631" t="str">
            <v>200302</v>
          </cell>
          <cell r="B2631" t="str">
            <v>TAXA BASICA OU DE SERVICO</v>
          </cell>
          <cell r="C2631" t="str">
            <v>GB</v>
          </cell>
          <cell r="D2631">
            <v>1596</v>
          </cell>
        </row>
        <row r="2632">
          <cell r="A2632" t="str">
            <v>200303</v>
          </cell>
          <cell r="B2632" t="str">
            <v>TAXA DE PROFUNDIDADE - INDUCAO - ELETRICO IEL</v>
          </cell>
          <cell r="C2632" t="str">
            <v>M</v>
          </cell>
          <cell r="D2632">
            <v>3.19</v>
          </cell>
        </row>
        <row r="2633">
          <cell r="A2633" t="str">
            <v>200304</v>
          </cell>
          <cell r="B2633" t="str">
            <v>TAXA DE PROFUNDIDADE - SONICO COMPENSADO BHC</v>
          </cell>
          <cell r="C2633" t="str">
            <v>M</v>
          </cell>
          <cell r="D2633">
            <v>3.79</v>
          </cell>
        </row>
        <row r="2634">
          <cell r="A2634" t="str">
            <v>200305</v>
          </cell>
          <cell r="B2634" t="str">
            <v>TAXA DE PROFUNDIDADE - CONTROLE DE CIMENTACAO CBL/VDL</v>
          </cell>
          <cell r="C2634" t="str">
            <v>M</v>
          </cell>
          <cell r="D2634">
            <v>3.45</v>
          </cell>
        </row>
        <row r="2635">
          <cell r="A2635" t="str">
            <v>200306</v>
          </cell>
          <cell r="B2635" t="str">
            <v>TAXA DE PROFUNDIDADE - RAIOS GAMA GR</v>
          </cell>
          <cell r="C2635" t="str">
            <v>M</v>
          </cell>
          <cell r="D2635">
            <v>2.79</v>
          </cell>
        </row>
        <row r="2636">
          <cell r="A2636" t="str">
            <v>200307</v>
          </cell>
          <cell r="B2636" t="str">
            <v>TAXA DE PROFUNDIDADE - RAIOS GAMA EM COMBINACAO/GR</v>
          </cell>
          <cell r="C2636" t="str">
            <v>M</v>
          </cell>
          <cell r="D2636">
            <v>1.86</v>
          </cell>
        </row>
        <row r="2637">
          <cell r="A2637" t="str">
            <v>200308</v>
          </cell>
          <cell r="B2637" t="str">
            <v>TAXA DE PROFUNDIDADE - CALIBRADOR DE 4 BRACOS XYC</v>
          </cell>
          <cell r="C2637" t="str">
            <v>M</v>
          </cell>
          <cell r="D2637">
            <v>2.39</v>
          </cell>
        </row>
        <row r="2638">
          <cell r="A2638" t="str">
            <v>200309</v>
          </cell>
          <cell r="B2638" t="str">
            <v>TAXA DE PROFUNDIDADE - PERFIL DE TEMPERATURA TEMP</v>
          </cell>
          <cell r="C2638" t="str">
            <v>M</v>
          </cell>
          <cell r="D2638">
            <v>2.2599999999999998</v>
          </cell>
        </row>
        <row r="2639">
          <cell r="A2639" t="str">
            <v>200310</v>
          </cell>
          <cell r="B2639" t="str">
            <v>TAXA DE PESQUISA - INDUCAO - ELETRICO IEL</v>
          </cell>
          <cell r="C2639" t="str">
            <v>M</v>
          </cell>
          <cell r="D2639">
            <v>2.66</v>
          </cell>
        </row>
        <row r="2640">
          <cell r="A2640" t="str">
            <v>200311</v>
          </cell>
          <cell r="B2640" t="str">
            <v>TAXA DE PESQUISA - SONICO COMPENSADO BHC</v>
          </cell>
          <cell r="C2640" t="str">
            <v>M</v>
          </cell>
          <cell r="D2640">
            <v>3.19</v>
          </cell>
        </row>
        <row r="2641">
          <cell r="A2641" t="str">
            <v>200312</v>
          </cell>
          <cell r="B2641" t="str">
            <v>TAXA DE PESQUISA - CONTROLE DE CIMENTACAO CBL/VDL</v>
          </cell>
          <cell r="C2641" t="str">
            <v>M</v>
          </cell>
          <cell r="D2641">
            <v>3.65</v>
          </cell>
        </row>
        <row r="2642">
          <cell r="A2642" t="str">
            <v>200313</v>
          </cell>
          <cell r="B2642" t="str">
            <v>TAXA DE PESQUISA - RAIOS GAMA GR</v>
          </cell>
          <cell r="C2642" t="str">
            <v>M</v>
          </cell>
          <cell r="D2642">
            <v>2.59</v>
          </cell>
        </row>
        <row r="2643">
          <cell r="A2643" t="str">
            <v>200314</v>
          </cell>
          <cell r="B2643" t="str">
            <v>TAXA DE PESQUISA - RAIOS GAMA EM COMBINACAO/GR</v>
          </cell>
          <cell r="C2643" t="str">
            <v>M</v>
          </cell>
          <cell r="D2643">
            <v>2.59</v>
          </cell>
        </row>
        <row r="2644">
          <cell r="A2644" t="str">
            <v>200315</v>
          </cell>
          <cell r="B2644" t="str">
            <v>TAXA DE PESQUISA - CALIBRADOR DE 4 BRACOS XYC</v>
          </cell>
          <cell r="C2644" t="str">
            <v>M</v>
          </cell>
          <cell r="D2644">
            <v>2.39</v>
          </cell>
        </row>
        <row r="2645">
          <cell r="A2645" t="str">
            <v>200316</v>
          </cell>
          <cell r="B2645" t="str">
            <v>TAXA DE PESQUISA - PERFIL DE TEMPERATURA TEMP</v>
          </cell>
          <cell r="C2645" t="str">
            <v>M</v>
          </cell>
          <cell r="D2645">
            <v>2.2599999999999998</v>
          </cell>
        </row>
        <row r="2646">
          <cell r="A2646" t="str">
            <v>200317</v>
          </cell>
          <cell r="B2646" t="str">
            <v>TAXA DE INTEGRACAO - TEMPO DE TRANSITO DO PERFIL SONICO</v>
          </cell>
          <cell r="C2646" t="str">
            <v>M</v>
          </cell>
          <cell r="D2646">
            <v>1.18</v>
          </cell>
        </row>
        <row r="2647">
          <cell r="A2647" t="str">
            <v>200318</v>
          </cell>
          <cell r="B2647" t="str">
            <v>TAXA DE INTEGRACAO - CALCULO DO VOLUME DO POCO</v>
          </cell>
          <cell r="C2647" t="str">
            <v>M</v>
          </cell>
          <cell r="D2647">
            <v>0.99</v>
          </cell>
        </row>
        <row r="2648">
          <cell r="A2648" t="str">
            <v>200319</v>
          </cell>
          <cell r="B2648" t="str">
            <v>TAXA PARA ESCALAS EXTRAS</v>
          </cell>
          <cell r="C2648" t="str">
            <v>M</v>
          </cell>
          <cell r="D2648">
            <v>5.98</v>
          </cell>
        </row>
        <row r="2649">
          <cell r="A2649" t="str">
            <v>200320</v>
          </cell>
          <cell r="B2649" t="str">
            <v>TAXA PARA COPIAS ADICIONAIS</v>
          </cell>
          <cell r="C2649" t="str">
            <v>M</v>
          </cell>
          <cell r="D2649">
            <v>5.98</v>
          </cell>
        </row>
        <row r="2650">
          <cell r="A2650" t="str">
            <v>200322</v>
          </cell>
          <cell r="B2650" t="str">
            <v>TAXA PARA FORNECIMENTO DE DISQUETES ADICIONAIS - 3 1/2" - 1,44 MB</v>
          </cell>
          <cell r="C2650" t="str">
            <v>UN</v>
          </cell>
          <cell r="D2650">
            <v>29.26</v>
          </cell>
        </row>
        <row r="2652">
          <cell r="A2652" t="str">
            <v>200400</v>
          </cell>
          <cell r="B2652" t="str">
            <v>PERFURACAO DE FURO-GUIA</v>
          </cell>
        </row>
        <row r="2653">
          <cell r="A2653" t="str">
            <v>200401</v>
          </cell>
          <cell r="B2653" t="str">
            <v>DIAMETRO 311 MM (12 1/4") - EQ. ATE 300 M</v>
          </cell>
          <cell r="C2653" t="str">
            <v>M</v>
          </cell>
          <cell r="D2653">
            <v>143.58000000000001</v>
          </cell>
        </row>
        <row r="2654">
          <cell r="A2654" t="str">
            <v>200402</v>
          </cell>
          <cell r="B2654" t="str">
            <v>DIAMETRO 311 MM (12 1/4") - EQ. DE 301 A 1000 M</v>
          </cell>
          <cell r="C2654" t="str">
            <v>M</v>
          </cell>
          <cell r="D2654">
            <v>218.29</v>
          </cell>
        </row>
        <row r="2655">
          <cell r="A2655" t="str">
            <v>200403</v>
          </cell>
          <cell r="B2655" t="str">
            <v>DIAMETRO 311 MM (12 1/4 POL.) - EQ. ACIMA DE 1001 M</v>
          </cell>
          <cell r="C2655" t="str">
            <v>M</v>
          </cell>
          <cell r="D2655">
            <v>282.70999999999998</v>
          </cell>
        </row>
        <row r="2656">
          <cell r="A2656" t="str">
            <v>200404</v>
          </cell>
          <cell r="B2656" t="str">
            <v>DIAMETRO 251 MM ( 9 7/8 POL.)</v>
          </cell>
          <cell r="C2656" t="str">
            <v>M</v>
          </cell>
          <cell r="D2656">
            <v>129.06</v>
          </cell>
        </row>
        <row r="2657">
          <cell r="A2657" t="str">
            <v>200405</v>
          </cell>
          <cell r="B2657" t="str">
            <v>DIAMETRO 216 MM ( 8 1/2 POL.)</v>
          </cell>
          <cell r="C2657" t="str">
            <v>M</v>
          </cell>
          <cell r="D2657">
            <v>114.59</v>
          </cell>
        </row>
        <row r="2659">
          <cell r="A2659" t="str">
            <v>200500</v>
          </cell>
          <cell r="B2659" t="str">
            <v>PERFURACAO PARA TUBO DE BOCA</v>
          </cell>
        </row>
        <row r="2660">
          <cell r="A2660" t="str">
            <v>200501</v>
          </cell>
          <cell r="B2660" t="str">
            <v>DIAMETRO 914 MM (36 POL.)/864 MM(34") - EQ. DE 301 A 1.000 M</v>
          </cell>
          <cell r="C2660" t="str">
            <v>M</v>
          </cell>
          <cell r="D2660">
            <v>342.11</v>
          </cell>
        </row>
        <row r="2661">
          <cell r="A2661" t="str">
            <v>200502</v>
          </cell>
          <cell r="B2661" t="str">
            <v>DIAMETRO 914 MM (36 POL.)/864 MM(34") - EQ. ACIMA DE 1.001 M</v>
          </cell>
          <cell r="C2661" t="str">
            <v>M</v>
          </cell>
          <cell r="D2661">
            <v>442.39</v>
          </cell>
        </row>
        <row r="2662">
          <cell r="A2662" t="str">
            <v>200503</v>
          </cell>
          <cell r="B2662" t="str">
            <v>DIAMETRO 813 MM (32 POL.)/762 MM(30") - EQ. DE 301 A 1.000 M</v>
          </cell>
          <cell r="C2662" t="str">
            <v>M</v>
          </cell>
          <cell r="D2662">
            <v>334.57</v>
          </cell>
        </row>
        <row r="2663">
          <cell r="A2663" t="str">
            <v>200504</v>
          </cell>
          <cell r="B2663" t="str">
            <v>DIAMETRO 813 MM (32 POL.)/762 MM(30") - EQ. ACIMA DE 1.001 M</v>
          </cell>
          <cell r="C2663" t="str">
            <v>M</v>
          </cell>
          <cell r="D2663">
            <v>425.44</v>
          </cell>
        </row>
        <row r="2664">
          <cell r="A2664" t="str">
            <v>200505</v>
          </cell>
          <cell r="B2664" t="str">
            <v>DIAMETRO 711 MM (28 POL.)/660 MM(26") - EQ. DE 301 A 1.000 M</v>
          </cell>
          <cell r="C2664" t="str">
            <v>M</v>
          </cell>
          <cell r="D2664">
            <v>323.54000000000002</v>
          </cell>
        </row>
        <row r="2665">
          <cell r="A2665" t="str">
            <v>200506</v>
          </cell>
          <cell r="B2665" t="str">
            <v>DIAMETRO 711 MM (28 POL.)/660 MM(26") - EQ. ACIMA DE 1001 M</v>
          </cell>
          <cell r="C2665" t="str">
            <v>M</v>
          </cell>
          <cell r="D2665">
            <v>415.91</v>
          </cell>
        </row>
        <row r="2666">
          <cell r="A2666" t="str">
            <v>200507</v>
          </cell>
          <cell r="B2666" t="str">
            <v>DIAMETRO 610 MM (24 POL.)/560 MM (22") - EQ. DE 301 A 1000 M</v>
          </cell>
          <cell r="C2666" t="str">
            <v>M</v>
          </cell>
          <cell r="D2666">
            <v>315.95999999999998</v>
          </cell>
        </row>
        <row r="2667">
          <cell r="A2667" t="str">
            <v>200508</v>
          </cell>
          <cell r="B2667" t="str">
            <v>DIAMETRO 610 MM (24 POL.)/560 MM(22") - EQ. ACIMA DE 1001 M</v>
          </cell>
          <cell r="C2667" t="str">
            <v>M</v>
          </cell>
          <cell r="D2667">
            <v>406.36</v>
          </cell>
        </row>
        <row r="2668">
          <cell r="A2668" t="str">
            <v>200509</v>
          </cell>
          <cell r="B2668" t="str">
            <v>DIAMETRO 508 MM (20 POL.)</v>
          </cell>
          <cell r="C2668" t="str">
            <v>M</v>
          </cell>
          <cell r="D2668">
            <v>199.11</v>
          </cell>
        </row>
        <row r="2669">
          <cell r="A2669" t="str">
            <v>200510</v>
          </cell>
          <cell r="B2669" t="str">
            <v>DIAMETRO 444 MM (17 1/2 POL.)</v>
          </cell>
          <cell r="C2669" t="str">
            <v>M</v>
          </cell>
          <cell r="D2669">
            <v>196.6</v>
          </cell>
        </row>
        <row r="2670">
          <cell r="A2670" t="str">
            <v>200511</v>
          </cell>
          <cell r="B2670" t="str">
            <v>DIAMETRO 406 MM (16 POL.)</v>
          </cell>
          <cell r="C2670" t="str">
            <v>M</v>
          </cell>
          <cell r="D2670">
            <v>191.71</v>
          </cell>
        </row>
        <row r="2671">
          <cell r="A2671" t="str">
            <v>200512</v>
          </cell>
          <cell r="B2671" t="str">
            <v>DIAMETRO 356 MM (14 POL.)</v>
          </cell>
          <cell r="C2671" t="str">
            <v>M</v>
          </cell>
          <cell r="D2671">
            <v>166.15</v>
          </cell>
        </row>
        <row r="2673">
          <cell r="A2673" t="str">
            <v>200600</v>
          </cell>
          <cell r="B2673" t="str">
            <v>PERFURACAO EM ROCHA FRIAVEL</v>
          </cell>
        </row>
        <row r="2674">
          <cell r="A2674" t="str">
            <v>200601</v>
          </cell>
          <cell r="B2674" t="str">
            <v>DIAMETRO 660 MM (26 POL.)/610 MM(24")/560 MM(22") - EQ. DE 301 A 1000 M</v>
          </cell>
          <cell r="C2674" t="str">
            <v>M</v>
          </cell>
          <cell r="D2674">
            <v>525.72</v>
          </cell>
        </row>
        <row r="2675">
          <cell r="A2675" t="str">
            <v>200602</v>
          </cell>
          <cell r="B2675" t="str">
            <v>DIAMETRO 660 MM (26 POL.)/610 MM (24")/560 MM(22") - EQ. ACIMA DE 1001 M</v>
          </cell>
          <cell r="C2675" t="str">
            <v>M</v>
          </cell>
          <cell r="D2675">
            <v>679.56</v>
          </cell>
        </row>
        <row r="2676">
          <cell r="A2676" t="str">
            <v>200603</v>
          </cell>
          <cell r="B2676" t="str">
            <v>DIAMETRO 508 MM (20 POL.)/444 MM (17 1/2") - EQ. ATE 300 M</v>
          </cell>
          <cell r="C2676" t="str">
            <v>M</v>
          </cell>
          <cell r="D2676">
            <v>208.5</v>
          </cell>
        </row>
        <row r="2677">
          <cell r="A2677" t="str">
            <v>200604</v>
          </cell>
          <cell r="B2677" t="str">
            <v>DIAMETRO 508 MM (20 POL.)/444 MM (17 1/2") - EQ. DE 301 A 1000 M</v>
          </cell>
          <cell r="C2677" t="str">
            <v>M</v>
          </cell>
          <cell r="D2677">
            <v>322.75</v>
          </cell>
        </row>
        <row r="2678">
          <cell r="A2678" t="str">
            <v>200605</v>
          </cell>
          <cell r="B2678" t="str">
            <v>DIAMETRO 508 MM (20 POL.)/444 MM (17 1/2") - EQ. ACIMA DE 1001 M</v>
          </cell>
          <cell r="C2678" t="str">
            <v>M</v>
          </cell>
          <cell r="D2678">
            <v>415.11</v>
          </cell>
        </row>
        <row r="2679">
          <cell r="A2679" t="str">
            <v>200606</v>
          </cell>
          <cell r="B2679" t="str">
            <v>DIAMETRO 375 MM (14 3/4 POL.) - EQ. ATE 300 M</v>
          </cell>
          <cell r="C2679" t="str">
            <v>M</v>
          </cell>
          <cell r="D2679">
            <v>173.19</v>
          </cell>
        </row>
        <row r="2680">
          <cell r="A2680" t="str">
            <v>200607</v>
          </cell>
          <cell r="B2680" t="str">
            <v>DIAMETRO 375 MM (14 3/4 POL.) - EQ. DE 301 A 1000 M</v>
          </cell>
          <cell r="C2680" t="str">
            <v>M</v>
          </cell>
          <cell r="D2680">
            <v>261.54000000000002</v>
          </cell>
        </row>
        <row r="2681">
          <cell r="A2681" t="str">
            <v>200608</v>
          </cell>
          <cell r="B2681" t="str">
            <v>DIAMETRO 375 MM (14 3/4 POL.) - EQ. ACIMA DE 1001 M</v>
          </cell>
          <cell r="C2681" t="str">
            <v>M</v>
          </cell>
          <cell r="D2681">
            <v>336.94</v>
          </cell>
        </row>
        <row r="2682">
          <cell r="A2682" t="str">
            <v>200609</v>
          </cell>
          <cell r="B2682" t="str">
            <v>DIAMETRO 311 MM (12 1/4 POL.) - EQ. ATE 300 M</v>
          </cell>
          <cell r="C2682" t="str">
            <v>M</v>
          </cell>
          <cell r="D2682">
            <v>145.9</v>
          </cell>
        </row>
        <row r="2683">
          <cell r="A2683" t="str">
            <v>200610</v>
          </cell>
          <cell r="B2683" t="str">
            <v>DIAMETRO 311 MM (12 1/4 POL.) - EQ. DE 301 A 1000 M</v>
          </cell>
          <cell r="C2683" t="str">
            <v>M</v>
          </cell>
          <cell r="D2683">
            <v>224.17</v>
          </cell>
        </row>
        <row r="2684">
          <cell r="A2684" t="str">
            <v>200611</v>
          </cell>
          <cell r="B2684" t="str">
            <v>DIAMETRO 311 MM (12 1/4 POL.) - EQ. ACIMA DE 1001 M</v>
          </cell>
          <cell r="C2684" t="str">
            <v>M</v>
          </cell>
          <cell r="D2684">
            <v>289.58999999999997</v>
          </cell>
        </row>
        <row r="2685">
          <cell r="A2685" t="str">
            <v>200612</v>
          </cell>
          <cell r="B2685" t="str">
            <v>DIAMETRO 251 MM (9 7/8 POL.) - EQ. ATE 300 M</v>
          </cell>
          <cell r="C2685" t="str">
            <v>M</v>
          </cell>
          <cell r="D2685">
            <v>131.37</v>
          </cell>
        </row>
        <row r="2686">
          <cell r="A2686" t="str">
            <v>200613</v>
          </cell>
          <cell r="B2686" t="str">
            <v>DIAMETRO 251 MM (9 7/8 POL.) - EQ. DE 301 A 1000 M</v>
          </cell>
          <cell r="C2686" t="str">
            <v>M</v>
          </cell>
          <cell r="D2686">
            <v>200.9</v>
          </cell>
        </row>
        <row r="2687">
          <cell r="A2687" t="str">
            <v>200614</v>
          </cell>
          <cell r="B2687" t="str">
            <v>DIAMETRO 251 MM ( 9 7/8 POL.) - EQ. ACIMA DE 1001 M</v>
          </cell>
          <cell r="C2687" t="str">
            <v>M</v>
          </cell>
          <cell r="D2687">
            <v>255.29</v>
          </cell>
        </row>
        <row r="2688">
          <cell r="A2688" t="str">
            <v>200615</v>
          </cell>
          <cell r="B2688" t="str">
            <v>DIAMETRO 216 MM ( 8 1/2 POL.)</v>
          </cell>
          <cell r="C2688" t="str">
            <v>M</v>
          </cell>
          <cell r="D2688">
            <v>116.84</v>
          </cell>
        </row>
        <row r="2689">
          <cell r="A2689" t="str">
            <v>200616</v>
          </cell>
          <cell r="B2689" t="str">
            <v>UNDERREAMER: DIAMETRO 508 MM (20 POL.) - EQ. DE 301 A 1.000 M</v>
          </cell>
          <cell r="C2689" t="str">
            <v>M</v>
          </cell>
          <cell r="D2689">
            <v>379.39</v>
          </cell>
        </row>
        <row r="2690">
          <cell r="A2690" t="str">
            <v>200617</v>
          </cell>
          <cell r="B2690" t="str">
            <v>UNDERREAMER: DIAMETRO 508 MM (20 POL.) - EQ. ACIMA DE 1.001 M</v>
          </cell>
          <cell r="C2690" t="str">
            <v>M</v>
          </cell>
          <cell r="D2690">
            <v>487.76</v>
          </cell>
        </row>
        <row r="2691">
          <cell r="A2691" t="str">
            <v>200618</v>
          </cell>
          <cell r="B2691" t="str">
            <v>UNDERREAMER: DIAMETRO 444 mm (17 1/2 POL.) - EQ. DE 301 A 1.000 M</v>
          </cell>
          <cell r="C2691" t="str">
            <v>M</v>
          </cell>
          <cell r="D2691">
            <v>322.75</v>
          </cell>
        </row>
        <row r="2692">
          <cell r="A2692" t="str">
            <v>200619</v>
          </cell>
          <cell r="B2692" t="str">
            <v>UNDERREAMER: DIAMETRO 444 MM (17 1/2 POL.) - EQ. ACIMA DE 1.001 M</v>
          </cell>
          <cell r="C2692" t="str">
            <v>M</v>
          </cell>
          <cell r="D2692">
            <v>415.11</v>
          </cell>
        </row>
        <row r="2693">
          <cell r="A2693" t="str">
            <v>200620</v>
          </cell>
          <cell r="B2693" t="str">
            <v>UNDERREAMER: DIAMETRO 375 MM (14 3/4 POL.) - EQ. DE 301 A 1000 M</v>
          </cell>
          <cell r="C2693" t="str">
            <v>M</v>
          </cell>
          <cell r="D2693">
            <v>261.89</v>
          </cell>
        </row>
        <row r="2694">
          <cell r="A2694" t="str">
            <v>200621</v>
          </cell>
          <cell r="B2694" t="str">
            <v>UNDERREAMER: DIAMETRO 375 MM (14 3/4 POL.) - EQ. ACIMA DE 1001 M</v>
          </cell>
          <cell r="C2694" t="str">
            <v>M</v>
          </cell>
          <cell r="D2694">
            <v>337.28</v>
          </cell>
        </row>
        <row r="2696">
          <cell r="A2696" t="str">
            <v>200700</v>
          </cell>
          <cell r="B2696" t="str">
            <v>PERFURACAO ROCHA CRISTALINA</v>
          </cell>
        </row>
        <row r="2697">
          <cell r="A2697" t="str">
            <v>200701</v>
          </cell>
          <cell r="B2697" t="str">
            <v>DIAMETRO 762 MM (30 POL.)/711 MM (28") - EQ. DE 301 A 1000 M</v>
          </cell>
          <cell r="C2697" t="str">
            <v>M</v>
          </cell>
          <cell r="D2697">
            <v>1074.1600000000001</v>
          </cell>
        </row>
        <row r="2698">
          <cell r="A2698" t="str">
            <v>200702</v>
          </cell>
          <cell r="B2698" t="str">
            <v>DIAMETRO 762 MM (30 POL.)/711 MM (28") - EQ. ACIMA DE 1001 M</v>
          </cell>
          <cell r="C2698" t="str">
            <v>M</v>
          </cell>
          <cell r="D2698">
            <v>1368.76</v>
          </cell>
        </row>
        <row r="2699">
          <cell r="A2699" t="str">
            <v>200703</v>
          </cell>
          <cell r="B2699" t="str">
            <v>DIAMETRO 660 MM (26 POL.)/610 MM (24") - EQ. DE 301 A 1000 M</v>
          </cell>
          <cell r="C2699" t="str">
            <v>M</v>
          </cell>
          <cell r="D2699">
            <v>990.58</v>
          </cell>
        </row>
        <row r="2700">
          <cell r="A2700" t="str">
            <v>200704</v>
          </cell>
          <cell r="B2700" t="str">
            <v>DIAMETRO 660 MM (26 POL.)/610 MM (24") - EQ. ACIMA DE 1001 M</v>
          </cell>
          <cell r="C2700" t="str">
            <v>M</v>
          </cell>
          <cell r="D2700">
            <v>1262.22</v>
          </cell>
        </row>
        <row r="2701">
          <cell r="A2701" t="str">
            <v>200705</v>
          </cell>
          <cell r="B2701" t="str">
            <v>DIAMETRO 559 MM (22 POL.)/508 MM(20") - EQ. DE 301 A 1000 M</v>
          </cell>
          <cell r="C2701" t="str">
            <v>M</v>
          </cell>
          <cell r="D2701">
            <v>943.32</v>
          </cell>
        </row>
        <row r="2702">
          <cell r="A2702" t="str">
            <v>200706</v>
          </cell>
          <cell r="B2702" t="str">
            <v>DIAMETRO 559 MM (22 POL.)/508 MM (20") - EQ. ACIMA DE 1001 M</v>
          </cell>
          <cell r="C2702" t="str">
            <v>M</v>
          </cell>
          <cell r="D2702">
            <v>1201.98</v>
          </cell>
        </row>
        <row r="2703">
          <cell r="A2703" t="str">
            <v>200707</v>
          </cell>
          <cell r="B2703" t="str">
            <v>DIAMETRO 444 MM (17 1/2 POL.) - EQ. ATE 300 M</v>
          </cell>
          <cell r="C2703" t="str">
            <v>M</v>
          </cell>
          <cell r="D2703">
            <v>540.75</v>
          </cell>
        </row>
        <row r="2704">
          <cell r="A2704" t="str">
            <v>200708</v>
          </cell>
          <cell r="B2704" t="str">
            <v>DIAMETRO 444 MM (17 1/2 POL.) - EQ. DE 301 A 1.000 M</v>
          </cell>
          <cell r="C2704" t="str">
            <v>M</v>
          </cell>
          <cell r="D2704">
            <v>841.51</v>
          </cell>
        </row>
        <row r="2705">
          <cell r="A2705" t="str">
            <v>200709</v>
          </cell>
          <cell r="B2705" t="str">
            <v>DIAMETRO 444 MM (17 1/2 POL.) - EQ. ACIMA DE 1.001 M</v>
          </cell>
          <cell r="C2705" t="str">
            <v>M</v>
          </cell>
          <cell r="D2705">
            <v>1072.1600000000001</v>
          </cell>
        </row>
        <row r="2706">
          <cell r="A2706" t="str">
            <v>200710</v>
          </cell>
          <cell r="B2706" t="str">
            <v>DIAMETRO 375 MM (14 3/4 POL.) - EQ. ATE 300 M</v>
          </cell>
          <cell r="C2706" t="str">
            <v>M</v>
          </cell>
          <cell r="D2706">
            <v>468.21</v>
          </cell>
        </row>
        <row r="2707">
          <cell r="A2707" t="str">
            <v>200711</v>
          </cell>
          <cell r="B2707" t="str">
            <v>DIAMETRO 375 MM (14 3/4 POL.) - EQ. DE 301 A 1.000 M</v>
          </cell>
          <cell r="C2707" t="str">
            <v>M</v>
          </cell>
          <cell r="D2707">
            <v>728.6</v>
          </cell>
        </row>
        <row r="2708">
          <cell r="A2708" t="str">
            <v>200712</v>
          </cell>
          <cell r="B2708" t="str">
            <v>DIAMETRO 375 MM (14 3/4 POL.) - EQ. ACIMA DE 1.001 M</v>
          </cell>
          <cell r="C2708" t="str">
            <v>M</v>
          </cell>
          <cell r="D2708">
            <v>928.32</v>
          </cell>
        </row>
        <row r="2709">
          <cell r="A2709" t="str">
            <v>200713</v>
          </cell>
          <cell r="B2709" t="str">
            <v>DIAMETRO 311 MM (12 1/4 POL.) - EQ. ATE 300 M</v>
          </cell>
          <cell r="C2709" t="str">
            <v>M</v>
          </cell>
          <cell r="D2709">
            <v>443.44</v>
          </cell>
        </row>
        <row r="2710">
          <cell r="A2710" t="str">
            <v>200714</v>
          </cell>
          <cell r="B2710" t="str">
            <v>DIAMETRO 311 MM (12 1/4 POL.) - EQ. DE 301 A 1.000 M</v>
          </cell>
          <cell r="C2710" t="str">
            <v>M</v>
          </cell>
          <cell r="D2710">
            <v>688.19</v>
          </cell>
        </row>
        <row r="2711">
          <cell r="A2711" t="str">
            <v>200715</v>
          </cell>
          <cell r="B2711" t="str">
            <v>DIAMETRO 311 MM (12 1/4 POL.) - EQ. ACIMA DE 1.001 M</v>
          </cell>
          <cell r="C2711" t="str">
            <v>M</v>
          </cell>
          <cell r="D2711">
            <v>876.9</v>
          </cell>
        </row>
        <row r="2712">
          <cell r="A2712" t="str">
            <v>200716</v>
          </cell>
          <cell r="B2712" t="str">
            <v>DIAMETRO 305 MM (12 POL.)</v>
          </cell>
          <cell r="C2712" t="str">
            <v>M</v>
          </cell>
          <cell r="D2712">
            <v>476.51</v>
          </cell>
        </row>
        <row r="2713">
          <cell r="A2713" t="str">
            <v>200717</v>
          </cell>
          <cell r="B2713" t="str">
            <v>DIAMETRO 254 MM (10 POL. OU 9 7/8")</v>
          </cell>
          <cell r="C2713" t="str">
            <v>M</v>
          </cell>
          <cell r="D2713">
            <v>389.06</v>
          </cell>
        </row>
        <row r="2714">
          <cell r="A2714" t="str">
            <v>200718</v>
          </cell>
          <cell r="B2714" t="str">
            <v>DIAMETRO 203 MM ( 8 POL.)</v>
          </cell>
          <cell r="C2714" t="str">
            <v>M</v>
          </cell>
          <cell r="D2714">
            <v>330.89</v>
          </cell>
        </row>
        <row r="2715">
          <cell r="A2715" t="str">
            <v>200719</v>
          </cell>
          <cell r="B2715" t="str">
            <v>DIAMETRO 152 MM ( 6 POL.)</v>
          </cell>
          <cell r="C2715" t="str">
            <v>M</v>
          </cell>
          <cell r="D2715">
            <v>220.71</v>
          </cell>
        </row>
        <row r="2717">
          <cell r="A2717" t="str">
            <v>200800</v>
          </cell>
          <cell r="B2717" t="str">
            <v>PERFURACAO ROCHA CRISTALINA COMPACTA</v>
          </cell>
        </row>
        <row r="2718">
          <cell r="A2718" t="str">
            <v>200801</v>
          </cell>
          <cell r="B2718" t="str">
            <v>DIAMETRO 305 MM (12 POL.)</v>
          </cell>
          <cell r="C2718" t="str">
            <v>M</v>
          </cell>
          <cell r="D2718">
            <v>635.12</v>
          </cell>
        </row>
        <row r="2719">
          <cell r="A2719" t="str">
            <v>200802</v>
          </cell>
          <cell r="B2719" t="str">
            <v>DIAMETRO 254 MM (10 POL.)</v>
          </cell>
          <cell r="C2719" t="str">
            <v>M</v>
          </cell>
          <cell r="D2719">
            <v>528.87</v>
          </cell>
        </row>
        <row r="2720">
          <cell r="A2720" t="str">
            <v>200803</v>
          </cell>
          <cell r="B2720" t="str">
            <v>DIAMETRO 203 MM ( 8 POL.)</v>
          </cell>
          <cell r="C2720" t="str">
            <v>M</v>
          </cell>
          <cell r="D2720">
            <v>449.39</v>
          </cell>
        </row>
        <row r="2721">
          <cell r="A2721" t="str">
            <v>200804</v>
          </cell>
          <cell r="B2721" t="str">
            <v>DIAMETRO 152 MM ( 6 POL.)</v>
          </cell>
          <cell r="C2721" t="str">
            <v>M</v>
          </cell>
          <cell r="D2721">
            <v>330.89</v>
          </cell>
        </row>
        <row r="2723">
          <cell r="A2723" t="str">
            <v>200900</v>
          </cell>
          <cell r="B2723" t="str">
            <v>REVESTIMENTO - TUBO DE ACO LISO</v>
          </cell>
        </row>
        <row r="2724">
          <cell r="A2724" t="str">
            <v>200901</v>
          </cell>
          <cell r="B2724" t="str">
            <v>SCH.10, 147,36 KG/M:DIAM.762 MM(30 POL.) - EQ. DE 301 A 1000 M</v>
          </cell>
          <cell r="C2724" t="str">
            <v>M</v>
          </cell>
          <cell r="D2724">
            <v>0</v>
          </cell>
        </row>
        <row r="2725">
          <cell r="A2725" t="str">
            <v>200902</v>
          </cell>
          <cell r="B2725" t="str">
            <v>SCH.10, 147,36 KG/M:DIAM.762 MM (30 POL.) - EQ. ACIMA DE 1001 M</v>
          </cell>
          <cell r="C2725" t="str">
            <v>M</v>
          </cell>
          <cell r="D2725">
            <v>0</v>
          </cell>
        </row>
        <row r="2726">
          <cell r="A2726" t="str">
            <v>200903</v>
          </cell>
          <cell r="B2726" t="str">
            <v>SCH.10, 137,42 KG/M:DIAM.711 MM (28 POL.) - EQ. DE 301 A 1000 M</v>
          </cell>
          <cell r="C2726" t="str">
            <v>M</v>
          </cell>
          <cell r="D2726">
            <v>0</v>
          </cell>
        </row>
        <row r="2727">
          <cell r="A2727" t="str">
            <v>200904</v>
          </cell>
          <cell r="B2727" t="str">
            <v>SCH.10, 137,42 KG/M:DIAM. 711 MM (28 POL.) - EQ. ACIMA DE 1001 M</v>
          </cell>
          <cell r="C2727" t="str">
            <v>M</v>
          </cell>
          <cell r="D2727">
            <v>0</v>
          </cell>
        </row>
        <row r="2728">
          <cell r="A2728" t="str">
            <v>200905</v>
          </cell>
          <cell r="B2728" t="str">
            <v>SCH.10, 127,50 KG/M:DIAM. 660 MM (26 POL.) - EQ. DE 301 A 1000 M</v>
          </cell>
          <cell r="C2728" t="str">
            <v>M</v>
          </cell>
          <cell r="D2728">
            <v>0</v>
          </cell>
        </row>
        <row r="2729">
          <cell r="A2729" t="str">
            <v>200906</v>
          </cell>
          <cell r="B2729" t="str">
            <v>SCH.10, 127,50 KG/M:DIAM. 660 MM (26 POL.) - EQ. ACIMA DE 1001 M</v>
          </cell>
          <cell r="C2729" t="str">
            <v>M</v>
          </cell>
          <cell r="D2729">
            <v>0</v>
          </cell>
        </row>
        <row r="2730">
          <cell r="A2730" t="str">
            <v>200907</v>
          </cell>
          <cell r="B2730" t="str">
            <v>SCH.10, 94,45 KG/M:DIAM. 609 MM (24 POL.) - EQ. DE 301 A 1000 M</v>
          </cell>
          <cell r="C2730" t="str">
            <v>M</v>
          </cell>
          <cell r="D2730">
            <v>0</v>
          </cell>
        </row>
        <row r="2731">
          <cell r="A2731" t="str">
            <v>200908</v>
          </cell>
          <cell r="B2731" t="str">
            <v>SCH.10, 94,45 KG/M:DIAM.609 MM (24 POL.) - EQ. ACIMA DE 1001 M</v>
          </cell>
          <cell r="C2731" t="str">
            <v>M</v>
          </cell>
          <cell r="D2731">
            <v>0</v>
          </cell>
        </row>
        <row r="2732">
          <cell r="A2732" t="str">
            <v>200909</v>
          </cell>
          <cell r="B2732" t="str">
            <v>SCH.10, 86,50 KG/M:DIAM.560 MM (22 POL.) - EQ. DE 301 A 1000 M</v>
          </cell>
          <cell r="C2732" t="str">
            <v>M</v>
          </cell>
          <cell r="D2732">
            <v>0</v>
          </cell>
        </row>
        <row r="2733">
          <cell r="A2733" t="str">
            <v>200910</v>
          </cell>
          <cell r="B2733" t="str">
            <v>SCH.10, 86,50 KG/M:DIAM. 560 MM (22 POL.) - EQ. ACIMA DE 1001 M</v>
          </cell>
          <cell r="C2733" t="str">
            <v>M</v>
          </cell>
          <cell r="D2733">
            <v>0</v>
          </cell>
        </row>
        <row r="2734">
          <cell r="A2734" t="str">
            <v>200911</v>
          </cell>
          <cell r="B2734" t="str">
            <v>SCH.10, 78,54 KG/M:DIAM.508 MM (20 POL.) - EQ. ATE 300 M</v>
          </cell>
          <cell r="C2734" t="str">
            <v>M</v>
          </cell>
          <cell r="D2734">
            <v>0</v>
          </cell>
        </row>
        <row r="2735">
          <cell r="A2735" t="str">
            <v>200912</v>
          </cell>
          <cell r="B2735" t="str">
            <v>SCH.10, 78,54 KG/M:DIAM. 508 MM (20 POL.) - EQ. DE 301 A 1000 M</v>
          </cell>
          <cell r="C2735" t="str">
            <v>M</v>
          </cell>
          <cell r="D2735">
            <v>0</v>
          </cell>
        </row>
        <row r="2736">
          <cell r="A2736" t="str">
            <v>200913</v>
          </cell>
          <cell r="B2736" t="str">
            <v>SCH.10, 78,54 KG/M:DIAM. 508 MM (20 POL.) - EQ. ACIMA DE 1001 M</v>
          </cell>
          <cell r="C2736" t="str">
            <v>M</v>
          </cell>
          <cell r="D2736">
            <v>0</v>
          </cell>
        </row>
        <row r="2737">
          <cell r="A2737" t="str">
            <v>200914</v>
          </cell>
          <cell r="B2737" t="str">
            <v>SCH.20, 117,07 KG/M:DIAM. 508 MM (20 POL.) - EQ. ATE 300 M</v>
          </cell>
          <cell r="C2737" t="str">
            <v>M</v>
          </cell>
          <cell r="D2737">
            <v>0</v>
          </cell>
        </row>
        <row r="2738">
          <cell r="A2738" t="str">
            <v>200915</v>
          </cell>
          <cell r="B2738" t="str">
            <v>SCH.20, 117,07 KG/M:DIAM. 508 MM (20 POL.) - EQ. DE 301 A 1000 M</v>
          </cell>
          <cell r="C2738" t="str">
            <v>M</v>
          </cell>
          <cell r="D2738">
            <v>0</v>
          </cell>
        </row>
        <row r="2739">
          <cell r="A2739" t="str">
            <v>200916</v>
          </cell>
          <cell r="B2739" t="str">
            <v>SCH.20, 117,07 KG/M:DIAM. 508 MM (20 POL.) - EQ. ACIMA DE 1001 M</v>
          </cell>
          <cell r="C2739" t="str">
            <v>M</v>
          </cell>
          <cell r="D2739">
            <v>0</v>
          </cell>
        </row>
        <row r="2740">
          <cell r="A2740" t="str">
            <v>200917</v>
          </cell>
          <cell r="B2740" t="str">
            <v>SCH.10, 70,59 KG/M:DIAM. 457 MM (18 POL.) - EQ. ATE 300 M</v>
          </cell>
          <cell r="C2740" t="str">
            <v>M</v>
          </cell>
          <cell r="D2740">
            <v>0</v>
          </cell>
        </row>
        <row r="2741">
          <cell r="A2741" t="str">
            <v>200918</v>
          </cell>
          <cell r="B2741" t="str">
            <v>SCH.10, 70,59 KG/M:DIAM. 457 MM (18 POL.) - EQ. DE 301 A 1000 M</v>
          </cell>
          <cell r="C2741" t="str">
            <v>M</v>
          </cell>
          <cell r="D2741">
            <v>0</v>
          </cell>
        </row>
        <row r="2742">
          <cell r="A2742" t="str">
            <v>200919</v>
          </cell>
          <cell r="B2742" t="str">
            <v>SCH.10, 70,59 KG/M:DIAM. 457 MM (18 POL.) - EQ. ACIMA DE 1001 M</v>
          </cell>
          <cell r="C2742" t="str">
            <v>M</v>
          </cell>
          <cell r="D2742">
            <v>0</v>
          </cell>
        </row>
        <row r="2743">
          <cell r="A2743" t="str">
            <v>200920</v>
          </cell>
          <cell r="B2743" t="str">
            <v>SCH.20, 87,79 KG/M:DIAM. 457 MM (18 POL.) - EQ. ATE 300 M</v>
          </cell>
          <cell r="C2743" t="str">
            <v>M</v>
          </cell>
          <cell r="D2743">
            <v>0</v>
          </cell>
        </row>
        <row r="2744">
          <cell r="A2744" t="str">
            <v>200921</v>
          </cell>
          <cell r="B2744" t="str">
            <v>SCH.20, 87,79 KG/M:DIAM. 457 MM (18 POL.) - EQ. DE 301 A 1000 M</v>
          </cell>
          <cell r="C2744" t="str">
            <v>M</v>
          </cell>
          <cell r="D2744">
            <v>0</v>
          </cell>
        </row>
        <row r="2745">
          <cell r="A2745" t="str">
            <v>200922</v>
          </cell>
          <cell r="B2745" t="str">
            <v>SCH.20, 87,79 KG/M:DIAM. 457 MM (18 POL.) - EQ. ACIMA DE 1001 M</v>
          </cell>
          <cell r="C2745" t="str">
            <v>M</v>
          </cell>
          <cell r="D2745">
            <v>0</v>
          </cell>
        </row>
        <row r="2746">
          <cell r="A2746" t="str">
            <v>200923</v>
          </cell>
          <cell r="B2746" t="str">
            <v>SCH.10, 62,63 KG/M:DIAM. 406 MM (16 POL.)</v>
          </cell>
          <cell r="C2746" t="str">
            <v>M</v>
          </cell>
          <cell r="D2746">
            <v>0</v>
          </cell>
        </row>
        <row r="2747">
          <cell r="A2747" t="str">
            <v>200924</v>
          </cell>
          <cell r="B2747" t="str">
            <v>SCH.20, 77,86 KG/M:DIAM. 406 MM (16 POL.)</v>
          </cell>
          <cell r="C2747" t="str">
            <v>M</v>
          </cell>
          <cell r="D2747">
            <v>0</v>
          </cell>
        </row>
        <row r="2748">
          <cell r="A2748" t="str">
            <v>200925</v>
          </cell>
          <cell r="B2748" t="str">
            <v>SCH.10, 54,68 KG/M:DIAM. 356 MM (14 POL.)</v>
          </cell>
          <cell r="C2748" t="str">
            <v>M</v>
          </cell>
          <cell r="D2748">
            <v>0</v>
          </cell>
        </row>
        <row r="2749">
          <cell r="A2749" t="str">
            <v>200926</v>
          </cell>
          <cell r="B2749" t="str">
            <v>SCH.20, 67,94 KG/M:DIAM. 356 MM (14 POL.)</v>
          </cell>
          <cell r="C2749" t="str">
            <v>M</v>
          </cell>
          <cell r="D2749">
            <v>0</v>
          </cell>
        </row>
        <row r="2750">
          <cell r="A2750" t="str">
            <v>200927</v>
          </cell>
          <cell r="B2750" t="str">
            <v>SCH.30, 81,28 KG/M:DIAM. 356 MM (14 POL.) - EQ. ATE 300 M</v>
          </cell>
          <cell r="C2750" t="str">
            <v>M</v>
          </cell>
          <cell r="D2750">
            <v>0</v>
          </cell>
        </row>
        <row r="2751">
          <cell r="A2751" t="str">
            <v>200928</v>
          </cell>
          <cell r="B2751" t="str">
            <v>SCH.30, 81,28 KG/M:DIAM. 356 MM (14 POL.) - EQ. DE 301 A 1000 M</v>
          </cell>
          <cell r="C2751" t="str">
            <v>M</v>
          </cell>
          <cell r="D2751">
            <v>0</v>
          </cell>
        </row>
        <row r="2752">
          <cell r="A2752" t="str">
            <v>200929</v>
          </cell>
          <cell r="B2752" t="str">
            <v>SCH.30, 81,28 KG/M:DIAM. 356 MM (14 POL.) - EQ. ACIMA DE 1001 M</v>
          </cell>
          <cell r="C2752" t="str">
            <v>M</v>
          </cell>
          <cell r="D2752">
            <v>0</v>
          </cell>
        </row>
        <row r="2753">
          <cell r="A2753" t="str">
            <v>200930</v>
          </cell>
          <cell r="B2753" t="str">
            <v>SCH.20, 49,72 KG/M:DIAM. 323 MM (12 3/4 POL.)</v>
          </cell>
          <cell r="C2753" t="str">
            <v>M</v>
          </cell>
          <cell r="D2753">
            <v>0</v>
          </cell>
        </row>
        <row r="2754">
          <cell r="A2754" t="str">
            <v>200931</v>
          </cell>
          <cell r="B2754" t="str">
            <v>SCH.30, 65,20 KG/M:DIAM. 323 MM (12 3/4 POL.)</v>
          </cell>
          <cell r="C2754" t="str">
            <v>M</v>
          </cell>
          <cell r="D2754">
            <v>0</v>
          </cell>
        </row>
        <row r="2755">
          <cell r="A2755" t="str">
            <v>200932</v>
          </cell>
          <cell r="B2755" t="str">
            <v>SCH.40, 79,74 KG/M:DIAM. 323 MM (12 3/4 POL.)</v>
          </cell>
          <cell r="C2755" t="str">
            <v>M</v>
          </cell>
          <cell r="D2755">
            <v>0</v>
          </cell>
        </row>
        <row r="2756">
          <cell r="A2756" t="str">
            <v>200933</v>
          </cell>
          <cell r="B2756" t="str">
            <v>37,57 KG/M: DIAM. 305 MM (12 POL.)</v>
          </cell>
          <cell r="C2756" t="str">
            <v>M</v>
          </cell>
          <cell r="D2756">
            <v>0</v>
          </cell>
        </row>
        <row r="2757">
          <cell r="A2757" t="str">
            <v>200934</v>
          </cell>
          <cell r="B2757" t="str">
            <v>31,59 KG/M:DIAM. 273 MM (10 3/4 POL.)</v>
          </cell>
          <cell r="C2757" t="str">
            <v>M</v>
          </cell>
          <cell r="D2757">
            <v>0</v>
          </cell>
        </row>
        <row r="2758">
          <cell r="A2758" t="str">
            <v>200935</v>
          </cell>
          <cell r="B2758" t="str">
            <v>SCH.20, 41,77 KG/M:DIAM. 273 MM (10 3/4 POL.)</v>
          </cell>
          <cell r="C2758" t="str">
            <v>M</v>
          </cell>
          <cell r="D2758">
            <v>0</v>
          </cell>
        </row>
        <row r="2759">
          <cell r="A2759" t="str">
            <v>200936</v>
          </cell>
          <cell r="B2759" t="str">
            <v>SCH.30, 51,00 KG/M:DIAM. 273 MM (10 3/4 POL.)</v>
          </cell>
          <cell r="C2759" t="str">
            <v>M</v>
          </cell>
          <cell r="D2759">
            <v>0</v>
          </cell>
        </row>
        <row r="2760">
          <cell r="A2760" t="str">
            <v>200937</v>
          </cell>
          <cell r="B2760" t="str">
            <v>SCH.40, 60,29 KG/M:DIAM. 273 MM (10 3/4 POL.)</v>
          </cell>
          <cell r="C2760" t="str">
            <v>M</v>
          </cell>
          <cell r="D2760">
            <v>0</v>
          </cell>
        </row>
        <row r="2761">
          <cell r="A2761" t="str">
            <v>200938</v>
          </cell>
          <cell r="B2761" t="str">
            <v>SCH.20, 33,31 KG/M, GALVANIZADO: DIAM. 203 MM (8 POL.)</v>
          </cell>
          <cell r="C2761" t="str">
            <v>M</v>
          </cell>
          <cell r="D2761">
            <v>0</v>
          </cell>
        </row>
        <row r="2762">
          <cell r="A2762" t="str">
            <v>200939</v>
          </cell>
          <cell r="B2762" t="str">
            <v>DIN 2440, 19,24 KG/M, GALVANIZADO : DIAM. 152 MM (6 POL.)</v>
          </cell>
          <cell r="C2762" t="str">
            <v>M</v>
          </cell>
          <cell r="D2762">
            <v>0</v>
          </cell>
        </row>
        <row r="2763">
          <cell r="A2763" t="str">
            <v>200940</v>
          </cell>
          <cell r="B2763" t="str">
            <v>DIN 2440, GALVANIZADO : DIAM. 38 MM (1 1/2 POL.)</v>
          </cell>
          <cell r="C2763" t="str">
            <v>M</v>
          </cell>
          <cell r="D2763">
            <v>0</v>
          </cell>
        </row>
        <row r="2764">
          <cell r="A2764" t="str">
            <v>200941</v>
          </cell>
          <cell r="B2764" t="str">
            <v>SCH.20, 49,72 KG/M, PRETO : DIAM. 305 MM (12 POL.)</v>
          </cell>
          <cell r="C2764" t="str">
            <v>M</v>
          </cell>
          <cell r="D2764">
            <v>0</v>
          </cell>
        </row>
        <row r="2765">
          <cell r="A2765" t="str">
            <v>200942</v>
          </cell>
          <cell r="B2765" t="str">
            <v>SCH.20, 41,77 KG/M, PRETO : DIAM. 254 MM (10 POL.)</v>
          </cell>
          <cell r="C2765" t="str">
            <v>M</v>
          </cell>
          <cell r="D2765">
            <v>0</v>
          </cell>
        </row>
        <row r="2766">
          <cell r="A2766" t="str">
            <v>200943</v>
          </cell>
          <cell r="B2766" t="str">
            <v>SCH.20, 33,31 KG/M, PRETO : DIAM. 203 MM (8 POL.)</v>
          </cell>
          <cell r="C2766" t="str">
            <v>M</v>
          </cell>
          <cell r="D2766">
            <v>0</v>
          </cell>
        </row>
        <row r="2767">
          <cell r="A2767" t="str">
            <v>200944</v>
          </cell>
          <cell r="B2767" t="str">
            <v>DIN 2440, 19,24 KG/M, PRETO : DIAM. 152 MM (6 POL.)</v>
          </cell>
          <cell r="C2767" t="str">
            <v>M</v>
          </cell>
          <cell r="D2767">
            <v>0</v>
          </cell>
        </row>
        <row r="2768">
          <cell r="A2768" t="str">
            <v>200945</v>
          </cell>
          <cell r="B2768" t="str">
            <v>DIN 2440, 1,69 KG/M, GALV.: DIAM. 19 MM (3/4 POL.)</v>
          </cell>
          <cell r="C2768" t="str">
            <v>M</v>
          </cell>
          <cell r="D2768">
            <v>0</v>
          </cell>
        </row>
        <row r="2770">
          <cell r="A2770" t="str">
            <v>201000</v>
          </cell>
          <cell r="B2770" t="str">
            <v>REVESTIMENTO - TUBOS DE ACO LISO API 5 A</v>
          </cell>
        </row>
        <row r="2771">
          <cell r="A2771" t="str">
            <v>201001</v>
          </cell>
          <cell r="B2771" t="str">
            <v>140,00 KG/M : DIAM. 508 MM (20") J OU K 55 - EQ. ATE 300 M</v>
          </cell>
          <cell r="C2771" t="str">
            <v>M</v>
          </cell>
          <cell r="D2771">
            <v>0</v>
          </cell>
        </row>
        <row r="2772">
          <cell r="A2772" t="str">
            <v>201002</v>
          </cell>
          <cell r="B2772" t="str">
            <v>140,00 KG/M: DIAM. 508 MM (20") J OU K 55 - EQ. DE 301 A 1000 M</v>
          </cell>
          <cell r="C2772" t="str">
            <v>M</v>
          </cell>
          <cell r="D2772">
            <v>0</v>
          </cell>
        </row>
        <row r="2773">
          <cell r="A2773" t="str">
            <v>201003</v>
          </cell>
          <cell r="B2773" t="str">
            <v>140,00 KG/M : DIAM. 508 MM (20") J OU K 55 - EQ. ACIMA DE 1001 M</v>
          </cell>
          <cell r="C2773" t="str">
            <v>M</v>
          </cell>
          <cell r="D2773">
            <v>0</v>
          </cell>
        </row>
        <row r="2774">
          <cell r="A2774" t="str">
            <v>201004</v>
          </cell>
          <cell r="B2774" t="str">
            <v>158,64 KG/M : DIAM. 508 MM (20") J OU K 55 - EQ. ATE 300 M</v>
          </cell>
          <cell r="C2774" t="str">
            <v>M</v>
          </cell>
          <cell r="D2774">
            <v>0</v>
          </cell>
        </row>
        <row r="2775">
          <cell r="A2775" t="str">
            <v>201005</v>
          </cell>
          <cell r="B2775" t="str">
            <v>158,64 KG/M : DIAM. 508 MM (20") J OU K 55 - EQ. DE 301 A 1000 M</v>
          </cell>
          <cell r="C2775" t="str">
            <v>M</v>
          </cell>
          <cell r="D2775">
            <v>0</v>
          </cell>
        </row>
        <row r="2776">
          <cell r="A2776" t="str">
            <v>201006</v>
          </cell>
          <cell r="B2776" t="str">
            <v>158,64 KG/M : DIAM. 508 MM (20") J OU K 55 - EQ. ACIMA DE 1001 M</v>
          </cell>
          <cell r="C2776" t="str">
            <v>M</v>
          </cell>
          <cell r="D2776">
            <v>0</v>
          </cell>
        </row>
        <row r="2777">
          <cell r="A2777" t="str">
            <v>201007</v>
          </cell>
          <cell r="B2777" t="str">
            <v>130,34 KG/M : DIAM. 473 MM (18 5/8") J OU K 55 - EQ. ATE 300 M</v>
          </cell>
          <cell r="C2777" t="str">
            <v>M</v>
          </cell>
          <cell r="D2777">
            <v>0</v>
          </cell>
        </row>
        <row r="2778">
          <cell r="A2778" t="str">
            <v>201008</v>
          </cell>
          <cell r="B2778" t="str">
            <v>130,34 KG/M : DIAM. 473 MM (18 5/8") J OU K 55 - EQ. DE 301 A 1000 M</v>
          </cell>
          <cell r="C2778" t="str">
            <v>M</v>
          </cell>
          <cell r="D2778">
            <v>0</v>
          </cell>
        </row>
        <row r="2779">
          <cell r="A2779" t="str">
            <v>201009</v>
          </cell>
          <cell r="B2779" t="str">
            <v>130,34 KG/M : DIAM. 473 MM (18 5/8") J OU K 55 - EQ. ACIMA DE 1001 M</v>
          </cell>
          <cell r="C2779" t="str">
            <v>M</v>
          </cell>
          <cell r="D2779">
            <v>0</v>
          </cell>
        </row>
        <row r="2780">
          <cell r="A2780" t="str">
            <v>201010</v>
          </cell>
          <cell r="B2780" t="str">
            <v>96,82 KG/M : DIAM. 406 MM (16") H 40 - EQ. ATE 300 M</v>
          </cell>
          <cell r="C2780" t="str">
            <v>M</v>
          </cell>
          <cell r="D2780">
            <v>0</v>
          </cell>
        </row>
        <row r="2781">
          <cell r="A2781" t="str">
            <v>201011</v>
          </cell>
          <cell r="B2781" t="str">
            <v>96,82 KG/M : DIAM. 406 MM (16") H 40 - EQ. DE 301 A 1000 M</v>
          </cell>
          <cell r="C2781" t="str">
            <v>M</v>
          </cell>
          <cell r="D2781">
            <v>0</v>
          </cell>
        </row>
        <row r="2782">
          <cell r="A2782" t="str">
            <v>201012</v>
          </cell>
          <cell r="B2782" t="str">
            <v>96,82 KG/M : DIAM. 406 MM (16") H 40 - EQ. ACIMA DE 1001 M</v>
          </cell>
          <cell r="C2782" t="str">
            <v>M</v>
          </cell>
          <cell r="D2782">
            <v>0</v>
          </cell>
        </row>
        <row r="2783">
          <cell r="A2783" t="str">
            <v>201013</v>
          </cell>
          <cell r="B2783" t="str">
            <v>111,71 KG/M : DIAM. 406 MM (16") J OU K 55 - EQ. ATE 300 M</v>
          </cell>
          <cell r="C2783" t="str">
            <v>M</v>
          </cell>
          <cell r="D2783">
            <v>0</v>
          </cell>
        </row>
        <row r="2784">
          <cell r="A2784" t="str">
            <v>201014</v>
          </cell>
          <cell r="B2784" t="str">
            <v>111,71 KG/M: DIAM. 406 MM (16") J OU K 55 - EQ. DE 301 A 1000 M</v>
          </cell>
          <cell r="C2784" t="str">
            <v>M</v>
          </cell>
          <cell r="D2784">
            <v>0</v>
          </cell>
        </row>
        <row r="2785">
          <cell r="A2785" t="str">
            <v>201015</v>
          </cell>
          <cell r="B2785" t="str">
            <v>111,71 KG/M : DIAM. 406 MM (16") J OU K 55 - EQ. ACIMA DE 1001 M</v>
          </cell>
          <cell r="C2785" t="str">
            <v>M</v>
          </cell>
          <cell r="D2785">
            <v>0</v>
          </cell>
        </row>
        <row r="2786">
          <cell r="A2786" t="str">
            <v>201016</v>
          </cell>
          <cell r="B2786" t="str">
            <v>125,12 KG/M : DIAM. 406 MM (16") J OU K 55 - EQ. ATE 300 M</v>
          </cell>
          <cell r="C2786" t="str">
            <v>M</v>
          </cell>
          <cell r="D2786">
            <v>0</v>
          </cell>
        </row>
        <row r="2787">
          <cell r="A2787" t="str">
            <v>201017</v>
          </cell>
          <cell r="B2787" t="str">
            <v>125,12 KG/M : DIAM. 406 MM (16") J OU K 55 - EQ. DE 301 A 1000 M</v>
          </cell>
          <cell r="C2787" t="str">
            <v>M</v>
          </cell>
          <cell r="D2787">
            <v>0</v>
          </cell>
        </row>
        <row r="2788">
          <cell r="A2788" t="str">
            <v>201018</v>
          </cell>
          <cell r="B2788" t="str">
            <v>125,12 KG/M : DIAM. 406 MM (16") J OU K 55 - EQ. ACIMA DE 1001 M</v>
          </cell>
          <cell r="C2788" t="str">
            <v>M</v>
          </cell>
          <cell r="D2788">
            <v>0</v>
          </cell>
        </row>
        <row r="2789">
          <cell r="A2789" t="str">
            <v>201019</v>
          </cell>
          <cell r="B2789" t="str">
            <v>81,18 KG/M : DIAM. 340 MM (13 3/8") J OU K 55 - EQ. ATE 300 M</v>
          </cell>
          <cell r="C2789" t="str">
            <v>M</v>
          </cell>
          <cell r="D2789">
            <v>0</v>
          </cell>
        </row>
        <row r="2790">
          <cell r="A2790" t="str">
            <v>201020</v>
          </cell>
          <cell r="B2790" t="str">
            <v>81,18 KG/M : DIAM. 340 MM (13 3/8") J OU K 55 - EQ. DE 301 A 1000 M</v>
          </cell>
          <cell r="C2790" t="str">
            <v>M</v>
          </cell>
          <cell r="D2790">
            <v>0</v>
          </cell>
        </row>
        <row r="2791">
          <cell r="A2791" t="str">
            <v>201021</v>
          </cell>
          <cell r="B2791" t="str">
            <v>81,18 KG/M : DIAM. 340 MM (13 3/8") J OU K 55 - EQ. ACIMA DE 1001 M</v>
          </cell>
          <cell r="C2791" t="str">
            <v>M</v>
          </cell>
          <cell r="D2791">
            <v>0</v>
          </cell>
        </row>
        <row r="2792">
          <cell r="A2792" t="str">
            <v>201022</v>
          </cell>
          <cell r="B2792" t="str">
            <v>90,86 KG/M : DIAM. 340 MM (13 3/8") J OU K 55 - EQ. ATE 300 M</v>
          </cell>
          <cell r="C2792" t="str">
            <v>M</v>
          </cell>
          <cell r="D2792">
            <v>0</v>
          </cell>
        </row>
        <row r="2793">
          <cell r="A2793" t="str">
            <v>201023</v>
          </cell>
          <cell r="B2793" t="str">
            <v>90,86 KG/M : DIAM. 340 MM (13 3/8") J OU K 55 - EQ. DE 301 A 1000 M</v>
          </cell>
          <cell r="C2793" t="str">
            <v>M</v>
          </cell>
          <cell r="D2793">
            <v>0</v>
          </cell>
        </row>
        <row r="2794">
          <cell r="A2794" t="str">
            <v>201024</v>
          </cell>
          <cell r="B2794" t="str">
            <v>90,86 KG/M : DIAM. 340 MM (13 3/8") J OU K 55 - EQ. ACIMA DE 1001 M</v>
          </cell>
          <cell r="C2794" t="str">
            <v>M</v>
          </cell>
          <cell r="D2794">
            <v>0</v>
          </cell>
        </row>
        <row r="2795">
          <cell r="A2795" t="str">
            <v>201025</v>
          </cell>
          <cell r="B2795" t="str">
            <v>101,29 KG/M : DIAM. 340 MM (13 3/8") J OU K 55 - EQ. ATE 300 M</v>
          </cell>
          <cell r="C2795" t="str">
            <v>M</v>
          </cell>
          <cell r="D2795">
            <v>0</v>
          </cell>
        </row>
        <row r="2796">
          <cell r="A2796" t="str">
            <v>201026</v>
          </cell>
          <cell r="B2796" t="str">
            <v>101,29 KG/M : DIAM. 340 MM (13 3/8") J OU K 55 - EQ. DE 301 A 1000 M</v>
          </cell>
          <cell r="C2796" t="str">
            <v>M</v>
          </cell>
          <cell r="D2796">
            <v>0</v>
          </cell>
        </row>
        <row r="2797">
          <cell r="A2797" t="str">
            <v>201027</v>
          </cell>
          <cell r="B2797" t="str">
            <v>101,29 KG/M : DIAM. 340 MM (13 3/8") J OU K 55 - EQ. ACIMA DE 1001 M</v>
          </cell>
          <cell r="C2797" t="str">
            <v>M</v>
          </cell>
          <cell r="D2797">
            <v>0</v>
          </cell>
        </row>
        <row r="2798">
          <cell r="A2798" t="str">
            <v>201028</v>
          </cell>
          <cell r="B2798" t="str">
            <v>60,32 KG/M : DIAM. 273 MM (10 3/4") J OU K 55 - EQ. ATE 300 M</v>
          </cell>
          <cell r="C2798" t="str">
            <v>M</v>
          </cell>
          <cell r="D2798">
            <v>0</v>
          </cell>
        </row>
        <row r="2799">
          <cell r="A2799" t="str">
            <v>201029</v>
          </cell>
          <cell r="B2799" t="str">
            <v>60,32 KG/M : DIAM. 273 MM (10 3/4") J OU K 55 - EQ. DE 301 A 1000 M</v>
          </cell>
          <cell r="C2799" t="str">
            <v>M</v>
          </cell>
          <cell r="D2799">
            <v>0</v>
          </cell>
        </row>
        <row r="2800">
          <cell r="A2800" t="str">
            <v>201030</v>
          </cell>
          <cell r="B2800" t="str">
            <v>60,32 KG/M : DIAM. 273 MM (10 3/4") J OU K 55 - EQ. ACIMA DE 1001 M</v>
          </cell>
          <cell r="C2800" t="str">
            <v>M</v>
          </cell>
          <cell r="D2800">
            <v>0</v>
          </cell>
        </row>
        <row r="2801">
          <cell r="A2801" t="str">
            <v>201031</v>
          </cell>
          <cell r="B2801" t="str">
            <v>67,66 KG/M : DIAM. 273 MM (10 3/4") J OU K 55 - EQ. ATE 300 M</v>
          </cell>
          <cell r="C2801" t="str">
            <v>M</v>
          </cell>
          <cell r="D2801">
            <v>0</v>
          </cell>
        </row>
        <row r="2802">
          <cell r="A2802" t="str">
            <v>201032</v>
          </cell>
          <cell r="B2802" t="str">
            <v>67,66 KG/M : DIAM. 273 MM (10 3/4") J OU K 55 - EQ. DE 301 A 1000 M</v>
          </cell>
          <cell r="C2802" t="str">
            <v>M</v>
          </cell>
          <cell r="D2802">
            <v>0</v>
          </cell>
        </row>
        <row r="2803">
          <cell r="A2803" t="str">
            <v>201033</v>
          </cell>
          <cell r="B2803" t="str">
            <v>67,66 KG/M : DIAM. 273 MM (10 3/4") J OU K 55 - EQ. ACIMA DE 1001 M</v>
          </cell>
          <cell r="C2803" t="str">
            <v>M</v>
          </cell>
          <cell r="D2803">
            <v>0</v>
          </cell>
        </row>
        <row r="2804">
          <cell r="A2804" t="str">
            <v>201034</v>
          </cell>
          <cell r="B2804" t="str">
            <v>75,96 KG/M : DIAM. 273 MM (10 3/4") J OU K 55 - EQ. ATE 300 M</v>
          </cell>
          <cell r="C2804" t="str">
            <v>M</v>
          </cell>
          <cell r="D2804">
            <v>0</v>
          </cell>
        </row>
        <row r="2805">
          <cell r="A2805" t="str">
            <v>201035</v>
          </cell>
          <cell r="B2805" t="str">
            <v>75,96 KG/M : DIAM. 273 MM (10 3/4") J OU K 55 - EQ. DE 301 A 1000 M</v>
          </cell>
          <cell r="C2805" t="str">
            <v>M</v>
          </cell>
          <cell r="D2805">
            <v>0</v>
          </cell>
        </row>
        <row r="2806">
          <cell r="A2806" t="str">
            <v>201036</v>
          </cell>
          <cell r="B2806" t="str">
            <v>75,96 KG/M : DIAM. 273 MM (10 3/4") J OU K 55 - EQ. ACIMA DE 1001 M</v>
          </cell>
          <cell r="C2806" t="str">
            <v>M</v>
          </cell>
          <cell r="D2806">
            <v>0</v>
          </cell>
        </row>
        <row r="2807">
          <cell r="A2807" t="str">
            <v>201037</v>
          </cell>
          <cell r="B2807" t="str">
            <v>48,11 KG/M : DIAM. 244 MM (9 5/8") H 40 - EQ. ATE 300 M</v>
          </cell>
          <cell r="C2807" t="str">
            <v>M</v>
          </cell>
          <cell r="D2807">
            <v>0</v>
          </cell>
        </row>
        <row r="2808">
          <cell r="A2808" t="str">
            <v>201038</v>
          </cell>
          <cell r="B2808" t="str">
            <v>48,11 KG/M : DIAM. 244 MM (9 5/8") H 40 - EQ. DE 301 A 1000 M</v>
          </cell>
          <cell r="C2808" t="str">
            <v>M</v>
          </cell>
          <cell r="D2808">
            <v>0</v>
          </cell>
        </row>
        <row r="2809">
          <cell r="A2809" t="str">
            <v>201039</v>
          </cell>
          <cell r="B2809" t="str">
            <v>48,11 KG/M : DIAM. 244 MM (9 5/8") H 40 - EQ. ACIMA DE 1001 M</v>
          </cell>
          <cell r="C2809" t="str">
            <v>M</v>
          </cell>
          <cell r="D2809">
            <v>0</v>
          </cell>
        </row>
        <row r="2810">
          <cell r="A2810" t="str">
            <v>201040</v>
          </cell>
          <cell r="B2810" t="str">
            <v>53,62 KG/M : DIAM. 244 MM (9 5/8") J OU K 55 - EQ. ATE 300 M</v>
          </cell>
          <cell r="C2810" t="str">
            <v>M</v>
          </cell>
          <cell r="D2810">
            <v>0</v>
          </cell>
        </row>
        <row r="2811">
          <cell r="A2811" t="str">
            <v>201041</v>
          </cell>
          <cell r="B2811" t="str">
            <v>53,62 KG/M : DIAM. 244 MM (9 5/8") J OU K 55 - EQ. DE 301 A 1000 M</v>
          </cell>
          <cell r="C2811" t="str">
            <v>M</v>
          </cell>
          <cell r="D2811">
            <v>0</v>
          </cell>
        </row>
        <row r="2812">
          <cell r="A2812" t="str">
            <v>201042</v>
          </cell>
          <cell r="B2812" t="str">
            <v>53,62 KG/M : DIAM. 244 MM (9 5/8") J OU K 55 - EQ. ACIMA DE 1001 M</v>
          </cell>
          <cell r="C2812" t="str">
            <v>M</v>
          </cell>
          <cell r="D2812">
            <v>0</v>
          </cell>
        </row>
        <row r="2813">
          <cell r="A2813" t="str">
            <v>201043</v>
          </cell>
          <cell r="B2813" t="str">
            <v>59,68 KG/M : DIAM. 244 MM (9 5/8") J OU K 55 - EQ. ATE 300 M</v>
          </cell>
          <cell r="C2813" t="str">
            <v>M</v>
          </cell>
          <cell r="D2813">
            <v>0</v>
          </cell>
        </row>
        <row r="2814">
          <cell r="A2814" t="str">
            <v>201044</v>
          </cell>
          <cell r="B2814" t="str">
            <v>59,68 KG/M : DIAM. 244 MM (9 5/8") J OU K 55 - EQ. DE 301 A 1000 M</v>
          </cell>
          <cell r="C2814" t="str">
            <v>M</v>
          </cell>
          <cell r="D2814">
            <v>0</v>
          </cell>
        </row>
        <row r="2815">
          <cell r="A2815" t="str">
            <v>201045</v>
          </cell>
          <cell r="B2815" t="str">
            <v>59,68 KG/M : DIAM. 244 MM (9 5/8") J OU K 55 - EQ. ACIMA DE 1001 M</v>
          </cell>
          <cell r="C2815" t="str">
            <v>M</v>
          </cell>
          <cell r="D2815">
            <v>0</v>
          </cell>
        </row>
        <row r="2816">
          <cell r="A2816" t="str">
            <v>201046</v>
          </cell>
          <cell r="B2816" t="str">
            <v>35,75 KG/M : DIAM. 219 MM (8 5/8") J OU K 55</v>
          </cell>
          <cell r="C2816" t="str">
            <v>M</v>
          </cell>
          <cell r="D2816">
            <v>0</v>
          </cell>
        </row>
        <row r="2817">
          <cell r="A2817" t="str">
            <v>201047</v>
          </cell>
          <cell r="B2817" t="str">
            <v>47,66 KG/M : DIAM. 219 MM (8 5/8") J OU K 55 - EQ. DE 301 A 1000 M</v>
          </cell>
          <cell r="C2817" t="str">
            <v>M</v>
          </cell>
          <cell r="D2817">
            <v>0</v>
          </cell>
        </row>
        <row r="2818">
          <cell r="A2818" t="str">
            <v>201048</v>
          </cell>
          <cell r="B2818" t="str">
            <v>47,66 KG/M : DIAM. 219 MM (8 5/8") J OU K 55 - EQ. ACIMA DE 1001 M</v>
          </cell>
          <cell r="C2818" t="str">
            <v>M</v>
          </cell>
          <cell r="D2818">
            <v>0</v>
          </cell>
        </row>
        <row r="2819">
          <cell r="A2819" t="str">
            <v>201049</v>
          </cell>
          <cell r="B2819" t="str">
            <v>53,62 KG/M : DIAM. 219 MM (8 5/8") J OU K 55 - EQ.DE 301 A 1000 M</v>
          </cell>
          <cell r="C2819" t="str">
            <v>M</v>
          </cell>
          <cell r="D2819">
            <v>0</v>
          </cell>
        </row>
        <row r="2820">
          <cell r="A2820" t="str">
            <v>201050</v>
          </cell>
          <cell r="B2820" t="str">
            <v>53,62 KG/M : DIAM. 219 MM (8 5/8") J OU K 55 - EQ. ACIMA DE 1001 M</v>
          </cell>
          <cell r="C2820" t="str">
            <v>M</v>
          </cell>
          <cell r="D2820">
            <v>0</v>
          </cell>
        </row>
        <row r="2821">
          <cell r="A2821" t="str">
            <v>201051</v>
          </cell>
          <cell r="B2821" t="str">
            <v>29,79 KG/M : DIAM. 168 MM (6 5/8") J OU K 55</v>
          </cell>
          <cell r="C2821" t="str">
            <v>M</v>
          </cell>
          <cell r="D2821">
            <v>0</v>
          </cell>
        </row>
        <row r="2822">
          <cell r="A2822" t="str">
            <v>201052</v>
          </cell>
          <cell r="B2822" t="str">
            <v>35,75 KG/M : DIAM. 168 MM (6 5/8") J OU K 55 - EQ. DE 301 A 1000 M</v>
          </cell>
          <cell r="C2822" t="str">
            <v>M</v>
          </cell>
          <cell r="D2822">
            <v>0</v>
          </cell>
        </row>
        <row r="2823">
          <cell r="A2823" t="str">
            <v>201053</v>
          </cell>
          <cell r="B2823" t="str">
            <v>35,75 KG/M : DIAM. 168 MM (6 5/8") J OU K 55 - EQ. ACIMA DE 1001 M</v>
          </cell>
          <cell r="C2823" t="str">
            <v>M</v>
          </cell>
          <cell r="D2823">
            <v>0</v>
          </cell>
        </row>
        <row r="2825">
          <cell r="A2825" t="str">
            <v>201100</v>
          </cell>
          <cell r="B2825" t="str">
            <v>REVESTIMENTO - TUBOS EM PVC RIGIDO, NERVURADO, DIN 4925</v>
          </cell>
        </row>
        <row r="2826">
          <cell r="A2826" t="str">
            <v>201101</v>
          </cell>
          <cell r="B2826" t="str">
            <v>DIAMETRO 250 MM (10 POL.) - STANDARD</v>
          </cell>
          <cell r="C2826" t="str">
            <v>M</v>
          </cell>
          <cell r="D2826">
            <v>294.91000000000003</v>
          </cell>
        </row>
        <row r="2827">
          <cell r="A2827" t="str">
            <v>201102</v>
          </cell>
          <cell r="B2827" t="str">
            <v>DIAMETRO 206 MM ( 8 POL.) - STANDARD</v>
          </cell>
          <cell r="C2827" t="str">
            <v>M</v>
          </cell>
          <cell r="D2827">
            <v>176.35</v>
          </cell>
        </row>
        <row r="2828">
          <cell r="A2828" t="str">
            <v>201103</v>
          </cell>
          <cell r="B2828" t="str">
            <v>DIAMETRO 154 MM ( 6 POL.) - STANDARD</v>
          </cell>
          <cell r="C2828" t="str">
            <v>M</v>
          </cell>
          <cell r="D2828">
            <v>103.35</v>
          </cell>
        </row>
        <row r="2829">
          <cell r="A2829" t="str">
            <v>201104</v>
          </cell>
          <cell r="B2829" t="str">
            <v>DIAMETRO 250 MM (10 POL.) - REFORCADO</v>
          </cell>
          <cell r="C2829" t="str">
            <v>M</v>
          </cell>
          <cell r="D2829">
            <v>156.52000000000001</v>
          </cell>
        </row>
        <row r="2830">
          <cell r="A2830" t="str">
            <v>201105</v>
          </cell>
          <cell r="B2830" t="str">
            <v>DIAMETRO 206 MM ( 8 POL.) - REFORCADO</v>
          </cell>
          <cell r="C2830" t="str">
            <v>M</v>
          </cell>
          <cell r="D2830">
            <v>163.31</v>
          </cell>
        </row>
        <row r="2831">
          <cell r="A2831" t="str">
            <v>201106</v>
          </cell>
          <cell r="B2831" t="str">
            <v>DIAMETRO 150 MM ( 6 POL.) - REFORCADO</v>
          </cell>
          <cell r="C2831" t="str">
            <v>M</v>
          </cell>
          <cell r="D2831">
            <v>98.91</v>
          </cell>
        </row>
        <row r="2833">
          <cell r="A2833" t="str">
            <v>201200</v>
          </cell>
          <cell r="B2833" t="str">
            <v>CIMENTACAO</v>
          </cell>
        </row>
        <row r="2834">
          <cell r="A2834" t="str">
            <v>201201</v>
          </cell>
          <cell r="B2834" t="str">
            <v>APLICACAO DE PASTA DE CIMENTO: POR GRAVIDADE</v>
          </cell>
          <cell r="C2834" t="str">
            <v>M3</v>
          </cell>
          <cell r="D2834">
            <v>598.75</v>
          </cell>
        </row>
        <row r="2836">
          <cell r="A2836" t="str">
            <v>201300</v>
          </cell>
          <cell r="B2836" t="str">
            <v>CIMENTACAO ESPECIAL</v>
          </cell>
        </row>
        <row r="2837">
          <cell r="A2837" t="str">
            <v>201301</v>
          </cell>
          <cell r="B2837" t="str">
            <v>APLICACAO DE PASTA COM UNIDADE DE CIMENTACAO AUTO-TRANSPORTAVEL - EQ. DE 301 A 1000 M</v>
          </cell>
          <cell r="C2837" t="str">
            <v>M3</v>
          </cell>
          <cell r="D2837">
            <v>711.64</v>
          </cell>
        </row>
        <row r="2838">
          <cell r="A2838" t="str">
            <v>201302</v>
          </cell>
          <cell r="B2838" t="str">
            <v>APLICACAO DE PASTA COM UNIDADE DE CIMENTACAO AUTO-TRANSPORTAVEL - EQ. ACIMA DE 1001 M</v>
          </cell>
          <cell r="C2838" t="str">
            <v>M3</v>
          </cell>
          <cell r="D2838">
            <v>811.49</v>
          </cell>
        </row>
        <row r="2840">
          <cell r="A2840" t="str">
            <v>201400</v>
          </cell>
          <cell r="B2840" t="str">
            <v>CENTRALIZADORES - DE MOLA API 10 D</v>
          </cell>
        </row>
        <row r="2841">
          <cell r="A2841" t="str">
            <v>201401</v>
          </cell>
          <cell r="B2841" t="str">
            <v>DIAMETRO 508 MM (20 POL.)</v>
          </cell>
          <cell r="C2841" t="str">
            <v>UN</v>
          </cell>
          <cell r="D2841">
            <v>0</v>
          </cell>
        </row>
        <row r="2842">
          <cell r="A2842" t="str">
            <v>201402</v>
          </cell>
          <cell r="B2842" t="str">
            <v>DIAMETRO 406 MM (16 POL.)</v>
          </cell>
          <cell r="C2842" t="str">
            <v>UN</v>
          </cell>
          <cell r="D2842">
            <v>0</v>
          </cell>
        </row>
        <row r="2843">
          <cell r="A2843" t="str">
            <v>201403</v>
          </cell>
          <cell r="B2843" t="str">
            <v>DIAMETRO 340 MM (13 3/8 POL.)</v>
          </cell>
          <cell r="C2843" t="str">
            <v>UN</v>
          </cell>
          <cell r="D2843">
            <v>0</v>
          </cell>
        </row>
        <row r="2844">
          <cell r="A2844" t="str">
            <v>201404</v>
          </cell>
          <cell r="B2844" t="str">
            <v>DIAMETRO 244 MM (9 5/8 POL.)</v>
          </cell>
          <cell r="C2844" t="str">
            <v>UN</v>
          </cell>
          <cell r="D2844">
            <v>0</v>
          </cell>
        </row>
        <row r="2845">
          <cell r="A2845" t="str">
            <v>201405</v>
          </cell>
          <cell r="B2845" t="str">
            <v>DIAMETRO 219 MM (8 5/8 POL.)</v>
          </cell>
          <cell r="C2845" t="str">
            <v>UN</v>
          </cell>
          <cell r="D2845">
            <v>0</v>
          </cell>
        </row>
        <row r="2846">
          <cell r="A2846" t="str">
            <v>201406</v>
          </cell>
          <cell r="B2846" t="str">
            <v>DIAMETRO 168 MM (6 5/8 POL.)</v>
          </cell>
          <cell r="C2846" t="str">
            <v>UN</v>
          </cell>
          <cell r="D2846">
            <v>0</v>
          </cell>
        </row>
        <row r="2848">
          <cell r="A2848" t="str">
            <v>201500</v>
          </cell>
          <cell r="B2848" t="str">
            <v>SAPATA DE CIMENTACAO FLUTUANTE</v>
          </cell>
        </row>
        <row r="2849">
          <cell r="A2849" t="str">
            <v>201501</v>
          </cell>
          <cell r="B2849" t="str">
            <v>DIAMETRO 508 MM (20 POL.) - EQ. DE 301 A 1000 M</v>
          </cell>
          <cell r="C2849" t="str">
            <v>UN</v>
          </cell>
          <cell r="D2849">
            <v>0</v>
          </cell>
        </row>
        <row r="2850">
          <cell r="A2850" t="str">
            <v>201502</v>
          </cell>
          <cell r="B2850" t="str">
            <v>DIAMETRO 508 MM (20 POL.) - EQ. ACIMA DE 1001 M</v>
          </cell>
          <cell r="C2850" t="str">
            <v>UN</v>
          </cell>
          <cell r="D2850">
            <v>0</v>
          </cell>
        </row>
        <row r="2851">
          <cell r="A2851" t="str">
            <v>201503</v>
          </cell>
          <cell r="B2851" t="str">
            <v>DIAMETRO 406 MM (16 POL.) - EQ. DE 301 A 1000 M</v>
          </cell>
          <cell r="C2851" t="str">
            <v>UN</v>
          </cell>
          <cell r="D2851">
            <v>0</v>
          </cell>
        </row>
        <row r="2852">
          <cell r="A2852" t="str">
            <v>201504</v>
          </cell>
          <cell r="B2852" t="str">
            <v>DIAMETRO 406 MM (16 POL.) - EQ. ACIMA DE 1001 M</v>
          </cell>
          <cell r="C2852" t="str">
            <v>UN</v>
          </cell>
          <cell r="D2852">
            <v>0</v>
          </cell>
        </row>
        <row r="2853">
          <cell r="A2853" t="str">
            <v>201505</v>
          </cell>
          <cell r="B2853" t="str">
            <v>DIAMETRO 340 MM (13 3/8 POL.) - EQ. DE 301 A 1000 M</v>
          </cell>
          <cell r="C2853" t="str">
            <v>UN</v>
          </cell>
          <cell r="D2853">
            <v>0</v>
          </cell>
        </row>
        <row r="2854">
          <cell r="A2854" t="str">
            <v>201506</v>
          </cell>
          <cell r="B2854" t="str">
            <v>DIAMETRO 340 MM (13 3/8 POL.) - EQ. ACIMA DE 1001 M</v>
          </cell>
          <cell r="C2854" t="str">
            <v>UN</v>
          </cell>
          <cell r="D2854">
            <v>0</v>
          </cell>
        </row>
        <row r="2855">
          <cell r="A2855" t="str">
            <v>201507</v>
          </cell>
          <cell r="B2855" t="str">
            <v>DIAMETRO 244 MM (9 5/8 POL.) - EQ. DE 301 A 1000 M</v>
          </cell>
          <cell r="C2855" t="str">
            <v>UN</v>
          </cell>
          <cell r="D2855">
            <v>0</v>
          </cell>
        </row>
        <row r="2856">
          <cell r="A2856" t="str">
            <v>201508</v>
          </cell>
          <cell r="B2856" t="str">
            <v>DIAMETRO 244 MM (9 5/8 POL.) - EQ. ACIMA DE 1001 M</v>
          </cell>
          <cell r="C2856" t="str">
            <v>UN</v>
          </cell>
          <cell r="D2856">
            <v>0</v>
          </cell>
        </row>
        <row r="2857">
          <cell r="A2857" t="str">
            <v>201509</v>
          </cell>
          <cell r="B2857" t="str">
            <v>DIAMETRO 219 MM (8 5/8 POL.) - EQ. DE 301 A 1000 M</v>
          </cell>
          <cell r="C2857" t="str">
            <v>UN</v>
          </cell>
          <cell r="D2857">
            <v>0</v>
          </cell>
        </row>
        <row r="2858">
          <cell r="A2858" t="str">
            <v>201510</v>
          </cell>
          <cell r="B2858" t="str">
            <v>DIAMETRO 219 MM (8 5/8 POL.) - EQ. ACIMA DE 1001 M</v>
          </cell>
          <cell r="C2858" t="str">
            <v>UN</v>
          </cell>
          <cell r="D2858">
            <v>0</v>
          </cell>
        </row>
        <row r="2859">
          <cell r="A2859" t="str">
            <v>201511</v>
          </cell>
          <cell r="B2859" t="str">
            <v>DIAMETRO 168 MM (6 5/8 POL.) - EQ. DE 301 A 1000 M</v>
          </cell>
          <cell r="C2859" t="str">
            <v>UN</v>
          </cell>
          <cell r="D2859">
            <v>0</v>
          </cell>
        </row>
        <row r="2860">
          <cell r="A2860" t="str">
            <v>201512</v>
          </cell>
          <cell r="B2860" t="str">
            <v>DIAMETRO 168 MM (6 5/8 POL.) - EQ. ACIMA DE 1001 M</v>
          </cell>
          <cell r="C2860" t="str">
            <v>UN</v>
          </cell>
          <cell r="D2860">
            <v>0</v>
          </cell>
        </row>
        <row r="2862">
          <cell r="A2862" t="str">
            <v>201600</v>
          </cell>
          <cell r="B2862" t="str">
            <v>COLAR DE ESTAGIO</v>
          </cell>
        </row>
        <row r="2863">
          <cell r="A2863" t="str">
            <v>201601</v>
          </cell>
          <cell r="B2863" t="str">
            <v>DIAMETRO 508 MM (20 POL.) - EQ. DE 301 A 1000 M</v>
          </cell>
          <cell r="C2863" t="str">
            <v>UN</v>
          </cell>
          <cell r="D2863">
            <v>0</v>
          </cell>
        </row>
        <row r="2864">
          <cell r="A2864" t="str">
            <v>201602</v>
          </cell>
          <cell r="B2864" t="str">
            <v>DIAMETRO 508 MM (20 POL.) - EQ. ACIMA DE 1001 M</v>
          </cell>
          <cell r="C2864" t="str">
            <v>UN</v>
          </cell>
          <cell r="D2864">
            <v>0</v>
          </cell>
        </row>
        <row r="2865">
          <cell r="A2865" t="str">
            <v>201603</v>
          </cell>
          <cell r="B2865" t="str">
            <v>DIAMETRO 406 MM (16 POL.) - EQ. DE 301 A 1000 M</v>
          </cell>
          <cell r="C2865" t="str">
            <v>UN</v>
          </cell>
          <cell r="D2865">
            <v>0</v>
          </cell>
        </row>
        <row r="2866">
          <cell r="A2866" t="str">
            <v>201604</v>
          </cell>
          <cell r="B2866" t="str">
            <v>DIAMETRO 406 MM (16 POL.) - EQ. ACIMA DE 1001 M</v>
          </cell>
          <cell r="C2866" t="str">
            <v>UN</v>
          </cell>
          <cell r="D2866">
            <v>0</v>
          </cell>
        </row>
        <row r="2867">
          <cell r="A2867" t="str">
            <v>201605</v>
          </cell>
          <cell r="B2867" t="str">
            <v>DIAMETRO 340 MM (13 3/8 POL.) - EQ. DE 301 A 1000 M</v>
          </cell>
          <cell r="C2867" t="str">
            <v>UN</v>
          </cell>
          <cell r="D2867">
            <v>0</v>
          </cell>
        </row>
        <row r="2868">
          <cell r="A2868" t="str">
            <v>201606</v>
          </cell>
          <cell r="B2868" t="str">
            <v>DIAMETRO 340 MM (13 3/8 POL.) - EQ. ACIMA DE 1001 M</v>
          </cell>
          <cell r="C2868" t="str">
            <v>UN</v>
          </cell>
          <cell r="D2868">
            <v>0</v>
          </cell>
        </row>
        <row r="2869">
          <cell r="A2869" t="str">
            <v>201607</v>
          </cell>
          <cell r="B2869" t="str">
            <v>DIAMETRO 244 MM (9 5/8 POL.) - EQ. DE 301 A 1000 M</v>
          </cell>
          <cell r="C2869" t="str">
            <v>UN</v>
          </cell>
          <cell r="D2869">
            <v>0</v>
          </cell>
        </row>
        <row r="2870">
          <cell r="A2870" t="str">
            <v>201608</v>
          </cell>
          <cell r="B2870" t="str">
            <v>DIAMETRO 244 MM (9 5/8 POL.) - EQ. ACIMA DE 1001 M</v>
          </cell>
          <cell r="C2870" t="str">
            <v>UN</v>
          </cell>
          <cell r="D2870">
            <v>0</v>
          </cell>
        </row>
        <row r="2871">
          <cell r="A2871" t="str">
            <v>201609</v>
          </cell>
          <cell r="B2871" t="str">
            <v>DIAMETRO 219 MM (8 5/8 POL.) - EQ. DE 301 A 1000 M</v>
          </cell>
          <cell r="C2871" t="str">
            <v>UN</v>
          </cell>
          <cell r="D2871">
            <v>0</v>
          </cell>
        </row>
        <row r="2872">
          <cell r="A2872" t="str">
            <v>201610</v>
          </cell>
          <cell r="B2872" t="str">
            <v>DIAMETRO 219 MM (8 5/8 POL.) - EQ. ACIMA DE 1001 M</v>
          </cell>
          <cell r="C2872" t="str">
            <v>UN</v>
          </cell>
          <cell r="D2872">
            <v>0</v>
          </cell>
        </row>
        <row r="2873">
          <cell r="A2873" t="str">
            <v>201611</v>
          </cell>
          <cell r="B2873" t="str">
            <v>DIAMETRO 168 MM (6 5/8 POL.) - EQ. DE 301 A 1000 M</v>
          </cell>
          <cell r="C2873" t="str">
            <v>UN</v>
          </cell>
          <cell r="D2873">
            <v>0</v>
          </cell>
        </row>
        <row r="2874">
          <cell r="A2874" t="str">
            <v>201612</v>
          </cell>
          <cell r="B2874" t="str">
            <v>DIAMETRO 168 MM (6 5/8 POL.) - EQ. ACIMA DE 1001 M</v>
          </cell>
          <cell r="C2874" t="str">
            <v>UN</v>
          </cell>
          <cell r="D2874">
            <v>0</v>
          </cell>
        </row>
        <row r="2876">
          <cell r="A2876" t="str">
            <v>201700</v>
          </cell>
          <cell r="B2876" t="str">
            <v>REDUCAO CONICA ROSCA ESQUERDA</v>
          </cell>
        </row>
        <row r="2877">
          <cell r="A2877" t="str">
            <v>201701</v>
          </cell>
          <cell r="B2877" t="str">
            <v>DIAMETRO  8 5/8 X 4 1/2 POL.</v>
          </cell>
          <cell r="C2877" t="str">
            <v>UN</v>
          </cell>
          <cell r="D2877">
            <v>0</v>
          </cell>
        </row>
        <row r="2878">
          <cell r="A2878" t="str">
            <v>201702</v>
          </cell>
          <cell r="B2878" t="str">
            <v>DIAMETRO  8 5/8 X 5 1/2 POL.</v>
          </cell>
          <cell r="C2878" t="str">
            <v>UN</v>
          </cell>
          <cell r="D2878">
            <v>0</v>
          </cell>
        </row>
        <row r="2879">
          <cell r="A2879" t="str">
            <v>201703</v>
          </cell>
          <cell r="B2879" t="str">
            <v>DIAMETRO  9 5/8 X 4 1/2 POL.</v>
          </cell>
          <cell r="C2879" t="str">
            <v>UN</v>
          </cell>
          <cell r="D2879">
            <v>0</v>
          </cell>
        </row>
        <row r="2880">
          <cell r="A2880" t="str">
            <v>201704</v>
          </cell>
          <cell r="B2880" t="str">
            <v>DIAMETRO  9 5/8 X 5 1/2 POL.</v>
          </cell>
          <cell r="C2880" t="str">
            <v>UN</v>
          </cell>
          <cell r="D2880">
            <v>0</v>
          </cell>
        </row>
        <row r="2881">
          <cell r="A2881" t="str">
            <v>201705</v>
          </cell>
          <cell r="B2881" t="str">
            <v>DIAMETRO 10 3/4 X 5 1/2 POL.</v>
          </cell>
          <cell r="C2881" t="str">
            <v>UN</v>
          </cell>
          <cell r="D2881">
            <v>0</v>
          </cell>
        </row>
        <row r="2882">
          <cell r="A2882" t="str">
            <v>201706</v>
          </cell>
          <cell r="B2882" t="str">
            <v>DIAMETRO 13 3/8 X 5 1/2 POL.</v>
          </cell>
          <cell r="C2882" t="str">
            <v>UN</v>
          </cell>
          <cell r="D2882">
            <v>0</v>
          </cell>
        </row>
        <row r="2883">
          <cell r="A2883" t="str">
            <v>201707</v>
          </cell>
          <cell r="B2883" t="str">
            <v>DIAMETRO 16 X 5 1/2 POL.</v>
          </cell>
          <cell r="C2883" t="str">
            <v>UN</v>
          </cell>
          <cell r="D2883">
            <v>0</v>
          </cell>
        </row>
        <row r="2884">
          <cell r="A2884" t="str">
            <v>201708</v>
          </cell>
          <cell r="B2884" t="str">
            <v>DIAMETRO 20 X 5 1/2 POL.</v>
          </cell>
          <cell r="C2884" t="str">
            <v>UN</v>
          </cell>
          <cell r="D2884">
            <v>0</v>
          </cell>
        </row>
        <row r="2885">
          <cell r="A2885" t="str">
            <v>201709</v>
          </cell>
          <cell r="B2885" t="str">
            <v>DIAMETRO 6 5/8 X 4 1/2 POL.</v>
          </cell>
          <cell r="C2885" t="str">
            <v>UN</v>
          </cell>
          <cell r="D2885">
            <v>0</v>
          </cell>
        </row>
        <row r="2887">
          <cell r="A2887" t="str">
            <v>201800</v>
          </cell>
          <cell r="B2887" t="str">
            <v>FILTROS ESPIRALADOS, PERFIL V, GALVANIZADOS</v>
          </cell>
        </row>
        <row r="2888">
          <cell r="A2888" t="str">
            <v>201801</v>
          </cell>
          <cell r="B2888" t="str">
            <v>DIAMETRO 356 MM (14 POL.)</v>
          </cell>
          <cell r="C2888" t="str">
            <v>M</v>
          </cell>
          <cell r="D2888">
            <v>728.62</v>
          </cell>
        </row>
        <row r="2889">
          <cell r="A2889" t="str">
            <v>201802</v>
          </cell>
          <cell r="B2889" t="str">
            <v>DIAMETRO 305 MM (12 POL.)</v>
          </cell>
          <cell r="C2889" t="str">
            <v>M</v>
          </cell>
          <cell r="D2889">
            <v>610.41</v>
          </cell>
        </row>
        <row r="2890">
          <cell r="A2890" t="str">
            <v>201803</v>
          </cell>
          <cell r="B2890" t="str">
            <v>DIAMETRO 254 MM (10 POL.)</v>
          </cell>
          <cell r="C2890" t="str">
            <v>M</v>
          </cell>
          <cell r="D2890">
            <v>499.24</v>
          </cell>
        </row>
        <row r="2891">
          <cell r="A2891" t="str">
            <v>201804</v>
          </cell>
          <cell r="B2891" t="str">
            <v>DIAMETRO 203 MM ( 8 POL.)</v>
          </cell>
          <cell r="C2891" t="str">
            <v>M</v>
          </cell>
          <cell r="D2891">
            <v>372.26</v>
          </cell>
        </row>
        <row r="2892">
          <cell r="A2892" t="str">
            <v>201805</v>
          </cell>
          <cell r="B2892" t="str">
            <v>DIAMETRO 152 MM ( 6 POL.)</v>
          </cell>
          <cell r="C2892" t="str">
            <v>M</v>
          </cell>
          <cell r="D2892">
            <v>224.21</v>
          </cell>
        </row>
        <row r="2894">
          <cell r="A2894" t="str">
            <v>201900</v>
          </cell>
          <cell r="B2894" t="str">
            <v>FILTROS ESPIRALADOS, PERFIL V, GALVANIZADOS - REFORCADOS</v>
          </cell>
        </row>
        <row r="2895">
          <cell r="A2895" t="str">
            <v>201901</v>
          </cell>
          <cell r="B2895" t="str">
            <v>DIAMETRO 356 MM (14 POL.)</v>
          </cell>
          <cell r="C2895" t="str">
            <v>M</v>
          </cell>
          <cell r="D2895">
            <v>776.97</v>
          </cell>
        </row>
        <row r="2896">
          <cell r="A2896" t="str">
            <v>201902</v>
          </cell>
          <cell r="B2896" t="str">
            <v>DIAMETRO 305 MM (12 POL.)</v>
          </cell>
          <cell r="C2896" t="str">
            <v>M</v>
          </cell>
          <cell r="D2896">
            <v>649.37</v>
          </cell>
        </row>
        <row r="2897">
          <cell r="A2897" t="str">
            <v>201903</v>
          </cell>
          <cell r="B2897" t="str">
            <v>DIAMETRO 254 MM (10 POL.)</v>
          </cell>
          <cell r="C2897" t="str">
            <v>M</v>
          </cell>
          <cell r="D2897">
            <v>555.66</v>
          </cell>
        </row>
        <row r="2898">
          <cell r="A2898" t="str">
            <v>201904</v>
          </cell>
          <cell r="B2898" t="str">
            <v>DIAMETRO 203 MM ( 8 POL.)</v>
          </cell>
          <cell r="C2898" t="str">
            <v>M</v>
          </cell>
          <cell r="D2898">
            <v>435.4</v>
          </cell>
        </row>
        <row r="2899">
          <cell r="A2899" t="str">
            <v>201905</v>
          </cell>
          <cell r="B2899" t="str">
            <v>DIAMETRO 152 MM ( 6 POL.)</v>
          </cell>
          <cell r="C2899" t="str">
            <v>M</v>
          </cell>
          <cell r="D2899">
            <v>314.20999999999998</v>
          </cell>
        </row>
        <row r="2901">
          <cell r="A2901" t="str">
            <v>202000</v>
          </cell>
          <cell r="B2901" t="str">
            <v>FILTROS ESPIRALADOS, PERFIL V, GALVANIZADOS - SUPER-REFORCADOS</v>
          </cell>
        </row>
        <row r="2902">
          <cell r="A2902" t="str">
            <v>202001</v>
          </cell>
          <cell r="B2902" t="str">
            <v>DIAMETRO 356 MM (14 POL.)</v>
          </cell>
          <cell r="C2902" t="str">
            <v>M</v>
          </cell>
          <cell r="D2902">
            <v>798.61</v>
          </cell>
        </row>
        <row r="2903">
          <cell r="A2903" t="str">
            <v>202002</v>
          </cell>
          <cell r="B2903" t="str">
            <v>DIAMETRO 305 MM (12 POL.)</v>
          </cell>
          <cell r="C2903" t="str">
            <v>M</v>
          </cell>
          <cell r="D2903">
            <v>696.38</v>
          </cell>
        </row>
        <row r="2904">
          <cell r="A2904" t="str">
            <v>202003</v>
          </cell>
          <cell r="B2904" t="str">
            <v>DIAMETRO 254 MM (10 POL.)</v>
          </cell>
          <cell r="C2904" t="str">
            <v>M</v>
          </cell>
          <cell r="D2904">
            <v>590.58000000000004</v>
          </cell>
        </row>
        <row r="2905">
          <cell r="A2905" t="str">
            <v>202004</v>
          </cell>
          <cell r="B2905" t="str">
            <v>DIAMETRO 203 MM ( 8 POL.)</v>
          </cell>
          <cell r="C2905" t="str">
            <v>M</v>
          </cell>
          <cell r="D2905">
            <v>485.31</v>
          </cell>
        </row>
        <row r="2906">
          <cell r="A2906" t="str">
            <v>202005</v>
          </cell>
          <cell r="B2906" t="str">
            <v>DIAMETRO 152 MM ( 6 POL.)</v>
          </cell>
          <cell r="C2906" t="str">
            <v>M</v>
          </cell>
          <cell r="D2906">
            <v>361.22</v>
          </cell>
        </row>
        <row r="2908">
          <cell r="A2908" t="str">
            <v>202100</v>
          </cell>
          <cell r="B2908" t="str">
            <v>FILTROS ESPIRALADOS, PERFIL V, GALVANIZADOS - HIPER-REFORCADOS</v>
          </cell>
        </row>
        <row r="2909">
          <cell r="A2909" t="str">
            <v>202101</v>
          </cell>
          <cell r="B2909" t="str">
            <v>DIAMETRO 356 MM (14 POL.)</v>
          </cell>
          <cell r="C2909" t="str">
            <v>M</v>
          </cell>
          <cell r="D2909">
            <v>873.57</v>
          </cell>
        </row>
        <row r="2910">
          <cell r="A2910" t="str">
            <v>202102</v>
          </cell>
          <cell r="B2910" t="str">
            <v>DIAMETRO 305 MM (12 POL.)</v>
          </cell>
          <cell r="C2910" t="str">
            <v>M</v>
          </cell>
          <cell r="D2910">
            <v>823.41</v>
          </cell>
        </row>
        <row r="2911">
          <cell r="A2911" t="str">
            <v>202103</v>
          </cell>
          <cell r="B2911" t="str">
            <v>DIAMETRO 254 MM (10 POL.)</v>
          </cell>
          <cell r="C2911" t="str">
            <v>M</v>
          </cell>
          <cell r="D2911">
            <v>680.6</v>
          </cell>
        </row>
        <row r="2912">
          <cell r="A2912" t="str">
            <v>202104</v>
          </cell>
          <cell r="B2912" t="str">
            <v>DIAMETRO 203 MM ( 8 POL.)</v>
          </cell>
          <cell r="C2912" t="str">
            <v>M</v>
          </cell>
          <cell r="D2912">
            <v>530.33000000000004</v>
          </cell>
        </row>
        <row r="2913">
          <cell r="A2913" t="str">
            <v>202105</v>
          </cell>
          <cell r="B2913" t="str">
            <v>DIAMETRO 152 MM ( 6 POL.)</v>
          </cell>
          <cell r="C2913" t="str">
            <v>M</v>
          </cell>
          <cell r="D2913">
            <v>432.88</v>
          </cell>
        </row>
        <row r="2915">
          <cell r="A2915" t="str">
            <v>202200</v>
          </cell>
          <cell r="B2915" t="str">
            <v>FILTROS ESPIRALADOS, PERFIL V, GALVANIZADOS - JAQUETADOS - SOBRE TUBOS API 5A</v>
          </cell>
        </row>
        <row r="2916">
          <cell r="A2916" t="str">
            <v>202201</v>
          </cell>
          <cell r="B2916" t="str">
            <v>720/520 FUROS/METROS: DIAMETRO 8 5/8 POL.</v>
          </cell>
          <cell r="C2916" t="str">
            <v>M</v>
          </cell>
          <cell r="D2916">
            <v>834.38</v>
          </cell>
        </row>
        <row r="2917">
          <cell r="A2917" t="str">
            <v>202202</v>
          </cell>
          <cell r="B2917" t="str">
            <v>600 FUROS/METROS: DIAMETRO 6 5/8 POL.</v>
          </cell>
          <cell r="C2917" t="str">
            <v>M</v>
          </cell>
          <cell r="D2917">
            <v>613.11</v>
          </cell>
        </row>
        <row r="2918">
          <cell r="A2918" t="str">
            <v>202203</v>
          </cell>
          <cell r="B2918" t="str">
            <v>840 FUROS/METROS: DIAMETRO 10 3/4 POL.</v>
          </cell>
          <cell r="C2918" t="str">
            <v>M</v>
          </cell>
          <cell r="D2918">
            <v>1149.6500000000001</v>
          </cell>
        </row>
        <row r="2920">
          <cell r="A2920" t="str">
            <v>202300</v>
          </cell>
          <cell r="B2920" t="str">
            <v>FILTROS EM PVC RIGIDO, NERVURADO, DIN 4925</v>
          </cell>
        </row>
        <row r="2921">
          <cell r="A2921" t="str">
            <v>202301</v>
          </cell>
          <cell r="B2921" t="str">
            <v>DIAMETRO 250 MM (10 POL.) - STANDARD</v>
          </cell>
          <cell r="C2921" t="str">
            <v>M</v>
          </cell>
          <cell r="D2921">
            <v>207.73</v>
          </cell>
        </row>
        <row r="2922">
          <cell r="A2922" t="str">
            <v>202302</v>
          </cell>
          <cell r="B2922" t="str">
            <v>DIAMETRO 206 MM ( 8 POL.) - STANDARD</v>
          </cell>
          <cell r="C2922" t="str">
            <v>M</v>
          </cell>
          <cell r="D2922">
            <v>157.88999999999999</v>
          </cell>
        </row>
        <row r="2923">
          <cell r="A2923" t="str">
            <v>202303</v>
          </cell>
          <cell r="B2923" t="str">
            <v>DIAMETRO 154 MM ( 6 POL.) - STANDARD</v>
          </cell>
          <cell r="C2923" t="str">
            <v>M</v>
          </cell>
          <cell r="D2923">
            <v>113.08</v>
          </cell>
        </row>
        <row r="2924">
          <cell r="A2924" t="str">
            <v>202304</v>
          </cell>
          <cell r="B2924" t="str">
            <v>DIAMETRO 250 MM (10 POL.) - REFORCADO</v>
          </cell>
          <cell r="C2924" t="str">
            <v>M</v>
          </cell>
          <cell r="D2924">
            <v>218.41</v>
          </cell>
        </row>
        <row r="2925">
          <cell r="A2925" t="str">
            <v>202305</v>
          </cell>
          <cell r="B2925" t="str">
            <v>DIAMETRO 200 MM ( 8 POL.) - REFORCADO</v>
          </cell>
          <cell r="C2925" t="str">
            <v>M</v>
          </cell>
          <cell r="D2925">
            <v>159</v>
          </cell>
        </row>
        <row r="2926">
          <cell r="A2926" t="str">
            <v>202306</v>
          </cell>
          <cell r="B2926" t="str">
            <v>DIAMETRO 150 MM ( 6 POL.) - REFORCADO</v>
          </cell>
          <cell r="C2926" t="str">
            <v>M</v>
          </cell>
          <cell r="D2926">
            <v>105.4</v>
          </cell>
        </row>
        <row r="2928">
          <cell r="A2928">
            <v>202400</v>
          </cell>
          <cell r="B2928" t="str">
            <v>FILTROS ESTAMPADOS, TIPO NOLD, PRETOS</v>
          </cell>
        </row>
        <row r="2929">
          <cell r="A2929" t="str">
            <v>202401</v>
          </cell>
          <cell r="B2929" t="str">
            <v>DIAMETRO 203 MM (8 POL.)</v>
          </cell>
          <cell r="C2929" t="str">
            <v>M</v>
          </cell>
          <cell r="D2929">
            <v>78.209999999999994</v>
          </cell>
        </row>
        <row r="2930">
          <cell r="A2930" t="str">
            <v>202402</v>
          </cell>
          <cell r="B2930" t="str">
            <v>DIAMETRO 152 MM (6 POL.)</v>
          </cell>
          <cell r="C2930" t="str">
            <v>M</v>
          </cell>
          <cell r="D2930">
            <v>63.93</v>
          </cell>
        </row>
        <row r="2932">
          <cell r="A2932" t="str">
            <v>202500</v>
          </cell>
          <cell r="B2932" t="str">
            <v>PRE-FILTROS</v>
          </cell>
        </row>
        <row r="2933">
          <cell r="A2933" t="str">
            <v>202501</v>
          </cell>
          <cell r="B2933" t="str">
            <v>TIPO JACAREI - SUB-ARREDONDADO - (CIRCULACAO D'AGUA) - (1,5 T/M3)</v>
          </cell>
          <cell r="C2933" t="str">
            <v>M3</v>
          </cell>
          <cell r="D2933">
            <v>854.79</v>
          </cell>
        </row>
        <row r="2934">
          <cell r="A2934" t="str">
            <v>202502</v>
          </cell>
          <cell r="B2934" t="str">
            <v>TIPO PEROLA - ARREDONDADO - (CIRCULACAO D'AGUA NO CONTRA-FLUXO) - (1,5 T/M3)</v>
          </cell>
          <cell r="C2934" t="str">
            <v>M3</v>
          </cell>
          <cell r="D2934">
            <v>1230.56</v>
          </cell>
        </row>
        <row r="2935">
          <cell r="A2935" t="str">
            <v>202503</v>
          </cell>
          <cell r="B2935" t="str">
            <v>TIPO PEROLA - ARREDONDADO - (CIRCULACAO REVERSA) - EQ. DE 301 A 1000 M (1,5 T/M3)</v>
          </cell>
          <cell r="C2935" t="str">
            <v>M3</v>
          </cell>
          <cell r="D2935">
            <v>1397.21</v>
          </cell>
        </row>
        <row r="2936">
          <cell r="A2936" t="str">
            <v>202504</v>
          </cell>
          <cell r="B2936" t="str">
            <v>TIPO PEROLA - ARREDONDADO - (CIRCULACAO REVERSA) - EQ. ACIMA DE 1001 M(1,5 T/M3)</v>
          </cell>
          <cell r="C2936" t="str">
            <v>M3</v>
          </cell>
          <cell r="D2936">
            <v>1497.08</v>
          </cell>
        </row>
        <row r="2938">
          <cell r="A2938" t="str">
            <v>202600</v>
          </cell>
          <cell r="B2938" t="str">
            <v>DESENVOLVIMENTO</v>
          </cell>
        </row>
        <row r="2939">
          <cell r="A2939" t="str">
            <v>202601</v>
          </cell>
          <cell r="B2939" t="str">
            <v>COM COMPRESSOR 175 LB/POL.2</v>
          </cell>
          <cell r="C2939" t="str">
            <v>H</v>
          </cell>
          <cell r="D2939">
            <v>84.12</v>
          </cell>
        </row>
        <row r="2940">
          <cell r="A2940" t="str">
            <v>202602</v>
          </cell>
          <cell r="B2940" t="str">
            <v>COM COMPRESSOR 250 LB/POL.2</v>
          </cell>
          <cell r="C2940" t="str">
            <v>H</v>
          </cell>
          <cell r="D2940">
            <v>88.11</v>
          </cell>
        </row>
        <row r="2941">
          <cell r="A2941" t="str">
            <v>202603</v>
          </cell>
          <cell r="B2941" t="str">
            <v>COM PLUNGE OU PISTAO COM VALVULA</v>
          </cell>
          <cell r="C2941" t="str">
            <v>H</v>
          </cell>
          <cell r="D2941">
            <v>77.19</v>
          </cell>
        </row>
        <row r="2942">
          <cell r="A2942" t="str">
            <v>202604</v>
          </cell>
          <cell r="B2942" t="str">
            <v>COM BOMBA SUBMERSA ATE 20 HP</v>
          </cell>
          <cell r="C2942" t="str">
            <v>H</v>
          </cell>
          <cell r="D2942">
            <v>96.22</v>
          </cell>
        </row>
        <row r="2943">
          <cell r="A2943" t="str">
            <v>202605</v>
          </cell>
          <cell r="B2943" t="str">
            <v>COM BOMBA SUBMERSA DE  20,1 A  35 HP</v>
          </cell>
          <cell r="C2943" t="str">
            <v>H</v>
          </cell>
          <cell r="D2943">
            <v>118.76</v>
          </cell>
        </row>
        <row r="2944">
          <cell r="A2944" t="str">
            <v>202606</v>
          </cell>
          <cell r="B2944" t="str">
            <v>COM BOMBA SUBMERSA DE  35,1 A  60 HP</v>
          </cell>
          <cell r="C2944" t="str">
            <v>H</v>
          </cell>
          <cell r="D2944">
            <v>148.6</v>
          </cell>
        </row>
        <row r="2945">
          <cell r="A2945" t="str">
            <v>202607</v>
          </cell>
          <cell r="B2945" t="str">
            <v>COM BOMBA SUBMERSA DE  60,1 A  90 HP</v>
          </cell>
          <cell r="C2945" t="str">
            <v>H</v>
          </cell>
          <cell r="D2945">
            <v>159.81</v>
          </cell>
        </row>
        <row r="2946">
          <cell r="A2946" t="str">
            <v>202608</v>
          </cell>
          <cell r="B2946" t="str">
            <v>COM BOMBA SUBMERSA DE  90,1 A 120 HP</v>
          </cell>
          <cell r="C2946" t="str">
            <v>H</v>
          </cell>
          <cell r="D2946">
            <v>162.28</v>
          </cell>
        </row>
        <row r="2947">
          <cell r="A2947" t="str">
            <v>202609</v>
          </cell>
          <cell r="B2947" t="str">
            <v>COM BOMBA SUBMERSA DE 120,1 A 150 HP</v>
          </cell>
          <cell r="C2947" t="str">
            <v>H</v>
          </cell>
          <cell r="D2947">
            <v>167.27</v>
          </cell>
        </row>
        <row r="2948">
          <cell r="A2948" t="str">
            <v>202610</v>
          </cell>
          <cell r="B2948" t="str">
            <v>COM BOMBA SUBMERSA DE 150,1 A 180 HP</v>
          </cell>
          <cell r="C2948" t="str">
            <v>H</v>
          </cell>
          <cell r="D2948">
            <v>171.57</v>
          </cell>
        </row>
        <row r="2949">
          <cell r="A2949" t="str">
            <v>202611</v>
          </cell>
          <cell r="B2949" t="str">
            <v>COM BOMBA SUBMERSA DE 180,1 A 210 HP</v>
          </cell>
          <cell r="C2949" t="str">
            <v>H</v>
          </cell>
          <cell r="D2949">
            <v>176.89</v>
          </cell>
        </row>
        <row r="2950">
          <cell r="A2950" t="str">
            <v>202612</v>
          </cell>
          <cell r="B2950" t="str">
            <v>COM BOMBA SUBMERSA DE 210,1 A 250 HP</v>
          </cell>
          <cell r="C2950" t="str">
            <v>H</v>
          </cell>
          <cell r="D2950">
            <v>198.03</v>
          </cell>
        </row>
        <row r="2951">
          <cell r="A2951" t="str">
            <v>202613</v>
          </cell>
          <cell r="B2951" t="str">
            <v>COM BOMBA EIXO PROLONGADO ATE 500 HP - EQ. DE 301 A 1000 M</v>
          </cell>
          <cell r="C2951" t="str">
            <v>H</v>
          </cell>
          <cell r="D2951">
            <v>539.79</v>
          </cell>
        </row>
        <row r="2952">
          <cell r="A2952" t="str">
            <v>202614</v>
          </cell>
          <cell r="B2952" t="str">
            <v>COM BOMBA EIXO PROLONGADO ATE 500 HP - EQ. ACIMA DE 1001 M</v>
          </cell>
          <cell r="C2952" t="str">
            <v>H</v>
          </cell>
          <cell r="D2952">
            <v>619.39</v>
          </cell>
        </row>
        <row r="2954">
          <cell r="A2954" t="str">
            <v>202700</v>
          </cell>
          <cell r="B2954" t="str">
            <v>ENSAIOS DE VAZAO COM BOMBA</v>
          </cell>
        </row>
        <row r="2955">
          <cell r="A2955" t="str">
            <v>202701</v>
          </cell>
          <cell r="B2955" t="str">
            <v>SUBMERSA ATE 20 HP</v>
          </cell>
          <cell r="C2955" t="str">
            <v>H</v>
          </cell>
          <cell r="D2955">
            <v>96.22</v>
          </cell>
        </row>
        <row r="2956">
          <cell r="A2956" t="str">
            <v>202702</v>
          </cell>
          <cell r="B2956" t="str">
            <v>SUBMERSA DE  20,1 A  35 HP</v>
          </cell>
          <cell r="C2956" t="str">
            <v>H</v>
          </cell>
          <cell r="D2956">
            <v>118.76</v>
          </cell>
        </row>
        <row r="2957">
          <cell r="A2957" t="str">
            <v>202703</v>
          </cell>
          <cell r="B2957" t="str">
            <v>SUBMERSA DE  35,1 A  60 HP</v>
          </cell>
          <cell r="C2957" t="str">
            <v>H</v>
          </cell>
          <cell r="D2957">
            <v>148.6</v>
          </cell>
        </row>
        <row r="2958">
          <cell r="A2958" t="str">
            <v>202704</v>
          </cell>
          <cell r="B2958" t="str">
            <v>SUBMERSA DE  60,1 A  90 HP</v>
          </cell>
          <cell r="C2958" t="str">
            <v>H</v>
          </cell>
          <cell r="D2958">
            <v>159.81</v>
          </cell>
        </row>
        <row r="2959">
          <cell r="A2959" t="str">
            <v>202705</v>
          </cell>
          <cell r="B2959" t="str">
            <v>SUBMERSA DE  90,1 A 120 HP</v>
          </cell>
          <cell r="C2959" t="str">
            <v>H</v>
          </cell>
          <cell r="D2959">
            <v>162.28</v>
          </cell>
        </row>
        <row r="2960">
          <cell r="A2960" t="str">
            <v>202706</v>
          </cell>
          <cell r="B2960" t="str">
            <v>SUBMERSA DE 120,1 A 150 HP</v>
          </cell>
          <cell r="C2960" t="str">
            <v>H</v>
          </cell>
          <cell r="D2960">
            <v>167.27</v>
          </cell>
        </row>
        <row r="2961">
          <cell r="A2961" t="str">
            <v>202707</v>
          </cell>
          <cell r="B2961" t="str">
            <v>SUBMERSA DE 150,1 A 180 HP</v>
          </cell>
          <cell r="C2961" t="str">
            <v>H</v>
          </cell>
          <cell r="D2961">
            <v>171.57</v>
          </cell>
        </row>
        <row r="2962">
          <cell r="A2962" t="str">
            <v>202708</v>
          </cell>
          <cell r="B2962" t="str">
            <v>SUBMERSA DE 180,1 A 210 HP</v>
          </cell>
          <cell r="C2962" t="str">
            <v>H</v>
          </cell>
          <cell r="D2962">
            <v>176.89</v>
          </cell>
        </row>
        <row r="2963">
          <cell r="A2963" t="str">
            <v>202709</v>
          </cell>
          <cell r="B2963" t="str">
            <v>SUBMERSA DE 210,1 A 250 HP</v>
          </cell>
          <cell r="C2963" t="str">
            <v>H</v>
          </cell>
          <cell r="D2963">
            <v>198.03</v>
          </cell>
        </row>
        <row r="2964">
          <cell r="A2964" t="str">
            <v>202710</v>
          </cell>
          <cell r="B2964" t="str">
            <v>EIXO PROLONGADO ATE 500 HP - EQ. DE 301 A 1000 M</v>
          </cell>
          <cell r="C2964" t="str">
            <v>H</v>
          </cell>
          <cell r="D2964">
            <v>539.79</v>
          </cell>
        </row>
        <row r="2965">
          <cell r="A2965" t="str">
            <v>202711</v>
          </cell>
          <cell r="B2965" t="str">
            <v>EIXO PROLONGADO ATE 500 HP - EQ. ACIMA DE 1001 M</v>
          </cell>
          <cell r="C2965" t="str">
            <v>H</v>
          </cell>
          <cell r="D2965">
            <v>619.39</v>
          </cell>
        </row>
        <row r="2967">
          <cell r="A2967" t="str">
            <v>202800</v>
          </cell>
          <cell r="B2967" t="str">
            <v>PRODUTOS QUIMICOS</v>
          </cell>
        </row>
        <row r="2968">
          <cell r="A2968" t="str">
            <v>202801</v>
          </cell>
          <cell r="B2968" t="str">
            <v>DISPERSANTE (HEXAMETAFOSFATO DE SODIO, DISPERGEL OU SIMILAR)</v>
          </cell>
          <cell r="C2968" t="str">
            <v>KG</v>
          </cell>
          <cell r="D2968">
            <v>7.63</v>
          </cell>
        </row>
        <row r="2970">
          <cell r="A2970" t="str">
            <v>202900</v>
          </cell>
          <cell r="B2970" t="str">
            <v>FLUIDO</v>
          </cell>
        </row>
        <row r="2971">
          <cell r="A2971" t="str">
            <v>202901</v>
          </cell>
          <cell r="B2971" t="str">
            <v>PARA PERFURACAO (DMP 2000, S 1500 OU SIMILAR)</v>
          </cell>
          <cell r="C2971" t="str">
            <v>KG</v>
          </cell>
          <cell r="D2971">
            <v>23.46</v>
          </cell>
        </row>
        <row r="2973">
          <cell r="A2973" t="str">
            <v>203000</v>
          </cell>
          <cell r="B2973" t="str">
            <v>ENDOSCOPIA (PERFILAGEM OPTICA)</v>
          </cell>
        </row>
        <row r="2974">
          <cell r="A2974" t="str">
            <v>203001</v>
          </cell>
          <cell r="B2974" t="str">
            <v>PERFILAGEM OPTICA ATE 200 M DE PROFUNDIDADE</v>
          </cell>
          <cell r="C2974" t="str">
            <v>M</v>
          </cell>
          <cell r="D2974">
            <v>19.95</v>
          </cell>
        </row>
        <row r="2975">
          <cell r="A2975" t="str">
            <v>203002</v>
          </cell>
          <cell r="B2975" t="str">
            <v>PERFILAGEM OPTICA DE 201 A   400 M DE PROFUNDIDADE</v>
          </cell>
          <cell r="C2975" t="str">
            <v>M</v>
          </cell>
          <cell r="D2975">
            <v>19.95</v>
          </cell>
        </row>
        <row r="2976">
          <cell r="A2976" t="str">
            <v>203003</v>
          </cell>
          <cell r="B2976" t="str">
            <v>PERFILAGEM OPTICA DE 401 A   600 M DE PROFUNDIDADE</v>
          </cell>
          <cell r="C2976" t="str">
            <v>M</v>
          </cell>
          <cell r="D2976">
            <v>19.95</v>
          </cell>
        </row>
        <row r="2977">
          <cell r="A2977" t="str">
            <v>203004</v>
          </cell>
          <cell r="B2977" t="str">
            <v>PERFILAGEM OPTICA DE 601 A   800 M DE PROFUNDIDADE</v>
          </cell>
          <cell r="C2977" t="str">
            <v>M</v>
          </cell>
          <cell r="D2977">
            <v>19.95</v>
          </cell>
        </row>
        <row r="2978">
          <cell r="A2978" t="str">
            <v>203005</v>
          </cell>
          <cell r="B2978" t="str">
            <v>PERFILAGEM OPTICA DE 801 A 1.000 M DE PROFUNDIDADE</v>
          </cell>
          <cell r="C2978" t="str">
            <v>M</v>
          </cell>
          <cell r="D2978">
            <v>19.95</v>
          </cell>
        </row>
        <row r="2979">
          <cell r="A2979" t="str">
            <v>203006</v>
          </cell>
          <cell r="B2979" t="str">
            <v>PERFILAGEM OPTICA ACIMA DE 1.001 M DE PROFUNDIDADE</v>
          </cell>
          <cell r="C2979" t="str">
            <v>M</v>
          </cell>
          <cell r="D2979">
            <v>19.95</v>
          </cell>
        </row>
        <row r="2980">
          <cell r="A2980" t="str">
            <v>203007</v>
          </cell>
          <cell r="B2980" t="str">
            <v>TAXA DE TRANSPORTE</v>
          </cell>
          <cell r="C2980" t="str">
            <v>KM</v>
          </cell>
          <cell r="D2980">
            <v>1.59</v>
          </cell>
        </row>
        <row r="2982">
          <cell r="A2982">
            <v>204000</v>
          </cell>
          <cell r="B2982" t="str">
            <v>REVESTIMENTO - TUBO DE ACO LISO</v>
          </cell>
        </row>
        <row r="2983">
          <cell r="A2983">
            <v>204001</v>
          </cell>
          <cell r="B2983" t="str">
            <v>SCH.10, 147,36 KG/M:DIAM.762 MM(30 POL.) - EQ. DE 301 A 1000 M</v>
          </cell>
          <cell r="C2983" t="str">
            <v>M</v>
          </cell>
          <cell r="D2983">
            <v>774.48</v>
          </cell>
        </row>
        <row r="2984">
          <cell r="A2984">
            <v>204002</v>
          </cell>
          <cell r="B2984" t="str">
            <v>SCH.10, 147,36 KG/M:DIAM.762 MM (30 POL.) - EQ. ACIMA DE 1001 M</v>
          </cell>
          <cell r="C2984" t="str">
            <v>M</v>
          </cell>
          <cell r="D2984">
            <v>800.48</v>
          </cell>
        </row>
        <row r="2985">
          <cell r="A2985">
            <v>204003</v>
          </cell>
          <cell r="B2985" t="str">
            <v>SCH.10, 137,42 KG/M:DIAM.711 MM (28 POL.) - EQ. DE 301 A 1000 M</v>
          </cell>
          <cell r="C2985" t="str">
            <v>M</v>
          </cell>
          <cell r="D2985">
            <v>728.9</v>
          </cell>
        </row>
        <row r="2986">
          <cell r="A2986">
            <v>204004</v>
          </cell>
          <cell r="B2986" t="str">
            <v>SCH.10, 137,42 KG/M:DIAM. 711 MM (28 POL.) - EQ. ACIMA DE 1001 M</v>
          </cell>
          <cell r="C2986" t="str">
            <v>M</v>
          </cell>
          <cell r="D2986">
            <v>754.56</v>
          </cell>
        </row>
        <row r="2987">
          <cell r="A2987">
            <v>204005</v>
          </cell>
          <cell r="B2987" t="str">
            <v>SCH.10, 127,50 KG/M:DIAM. 660 MM (26 POL.) - EQ. DE 301 A 1000 M</v>
          </cell>
          <cell r="C2987" t="str">
            <v>M</v>
          </cell>
          <cell r="D2987">
            <v>681.43</v>
          </cell>
        </row>
        <row r="2988">
          <cell r="A2988">
            <v>204006</v>
          </cell>
          <cell r="B2988" t="str">
            <v>SCH.10, 127,50 KG/M:DIAM. 660 MM (26 POL.) - EQ. ACIMA DE 1001 M</v>
          </cell>
          <cell r="C2988" t="str">
            <v>M</v>
          </cell>
          <cell r="D2988">
            <v>706.68</v>
          </cell>
        </row>
        <row r="2989">
          <cell r="A2989">
            <v>204007</v>
          </cell>
          <cell r="B2989" t="str">
            <v>SCH.10, 94,45 KG/M:DIAM. 609 MM (24 POL.) - EQ. DE 301 A 1000 M</v>
          </cell>
          <cell r="C2989" t="str">
            <v>M</v>
          </cell>
          <cell r="D2989">
            <v>524.61</v>
          </cell>
        </row>
        <row r="2990">
          <cell r="A2990">
            <v>204008</v>
          </cell>
          <cell r="B2990" t="str">
            <v>SCH.10, 94,45 KG/M:DIAM.609 MM (24 POL.) - EQ. ACIMA DE 1001 M</v>
          </cell>
          <cell r="C2990" t="str">
            <v>M</v>
          </cell>
          <cell r="D2990">
            <v>549.55999999999995</v>
          </cell>
        </row>
        <row r="2991">
          <cell r="A2991">
            <v>204009</v>
          </cell>
          <cell r="B2991" t="str">
            <v>SCH.10, 86,50 KG/M:DIAM.560 MM (22 POL.) - EQ. DE 301 A 1000 M</v>
          </cell>
          <cell r="C2991" t="str">
            <v>M</v>
          </cell>
          <cell r="D2991">
            <v>493.61</v>
          </cell>
        </row>
        <row r="2992">
          <cell r="A2992">
            <v>204010</v>
          </cell>
          <cell r="B2992" t="str">
            <v>SCH.10, 86,50 KG/M:DIAM. 560 MM (22 POL.) - EQ. ACIMA DE 1001 M</v>
          </cell>
          <cell r="C2992" t="str">
            <v>M</v>
          </cell>
          <cell r="D2992">
            <v>518.17999999999995</v>
          </cell>
        </row>
        <row r="2993">
          <cell r="A2993">
            <v>204011</v>
          </cell>
          <cell r="B2993" t="str">
            <v>SCH.10, 78,54 KG/M:DIAM.508 MM (20 POL.) - EQ. ATE 300 M</v>
          </cell>
          <cell r="C2993" t="str">
            <v>M</v>
          </cell>
          <cell r="D2993">
            <v>422.46</v>
          </cell>
        </row>
        <row r="2994">
          <cell r="A2994">
            <v>204012</v>
          </cell>
          <cell r="B2994" t="str">
            <v>SCH.10, 78,54 KG/M:DIAM. 508 MM (20 POL.) - EQ. DE 301 A 1000 M</v>
          </cell>
          <cell r="C2994" t="str">
            <v>M</v>
          </cell>
          <cell r="D2994">
            <v>453.46</v>
          </cell>
        </row>
        <row r="2995">
          <cell r="A2995">
            <v>204013</v>
          </cell>
          <cell r="B2995" t="str">
            <v>SCH.10, 78,54 KG/M:DIAM. 508 MM (20 POL.) - EQ. ACIMA DE 1001 M</v>
          </cell>
          <cell r="C2995" t="str">
            <v>M</v>
          </cell>
          <cell r="D2995">
            <v>477.73</v>
          </cell>
        </row>
        <row r="2996">
          <cell r="A2996">
            <v>204014</v>
          </cell>
          <cell r="B2996" t="str">
            <v>SCH.20, 117,07 KG/M:DIAM. 508 MM (20 POL.) - EQ. ATE 300 M</v>
          </cell>
          <cell r="C2996" t="str">
            <v>M</v>
          </cell>
          <cell r="D2996">
            <v>575.29999999999995</v>
          </cell>
        </row>
        <row r="2997">
          <cell r="A2997">
            <v>204015</v>
          </cell>
          <cell r="B2997" t="str">
            <v>SCH.20, 117,07 KG/M:DIAM. 508 MM (20 POL.) - EQ. DE 301 A 1000 M</v>
          </cell>
          <cell r="C2997" t="str">
            <v>M</v>
          </cell>
          <cell r="D2997">
            <v>606.29999999999995</v>
          </cell>
        </row>
        <row r="2998">
          <cell r="A2998">
            <v>204016</v>
          </cell>
          <cell r="B2998" t="str">
            <v>SCH.20, 117,07 KG/M:DIAM. 508 MM (20 POL.) - EQ. ACIMA DE 1001 M</v>
          </cell>
          <cell r="C2998" t="str">
            <v>M</v>
          </cell>
          <cell r="D2998">
            <v>630.57000000000005</v>
          </cell>
        </row>
        <row r="2999">
          <cell r="A2999">
            <v>204017</v>
          </cell>
          <cell r="B2999" t="str">
            <v>SCH.10, 70,59 KG/M:DIAM. 457 MM (18 POL.) - EQ. ATE 300 M</v>
          </cell>
          <cell r="C2999" t="str">
            <v>M</v>
          </cell>
          <cell r="D2999">
            <v>387.98</v>
          </cell>
        </row>
        <row r="3000">
          <cell r="A3000">
            <v>204018</v>
          </cell>
          <cell r="B3000" t="str">
            <v>SCH.10, 70,59 KG/M:DIAM. 457 MM (18 POL.) - EQ. DE 301 A 1000 M</v>
          </cell>
          <cell r="C3000" t="str">
            <v>M</v>
          </cell>
          <cell r="D3000">
            <v>418.6</v>
          </cell>
        </row>
        <row r="3001">
          <cell r="A3001">
            <v>204019</v>
          </cell>
          <cell r="B3001" t="str">
            <v>SCH.10, 70,59 KG/M:DIAM. 457 MM (18 POL.) - EQ. ACIMA DE 1001 M</v>
          </cell>
          <cell r="C3001" t="str">
            <v>M</v>
          </cell>
          <cell r="D3001">
            <v>442.54</v>
          </cell>
        </row>
        <row r="3002">
          <cell r="A3002">
            <v>204020</v>
          </cell>
          <cell r="B3002" t="str">
            <v>SCH.20, 87,79 KG/M:DIAM. 457 MM (18 POL.) - EQ. ATE 300 M</v>
          </cell>
          <cell r="C3002" t="str">
            <v>M</v>
          </cell>
          <cell r="D3002">
            <v>459.6</v>
          </cell>
        </row>
        <row r="3003">
          <cell r="A3003">
            <v>204021</v>
          </cell>
          <cell r="B3003" t="str">
            <v>SCH.20, 87,79 KG/M:DIAM. 457 MM (18 POL.) - EQ. DE 301 A 1000 M</v>
          </cell>
          <cell r="C3003" t="str">
            <v>M</v>
          </cell>
          <cell r="D3003">
            <v>490.22</v>
          </cell>
        </row>
        <row r="3004">
          <cell r="A3004">
            <v>204022</v>
          </cell>
          <cell r="B3004" t="str">
            <v>SCH.20, 87,79 KG/M:DIAM. 457 MM (18 POL.) - EQ. ACIMA DE 1001 M</v>
          </cell>
          <cell r="C3004" t="str">
            <v>M</v>
          </cell>
          <cell r="D3004">
            <v>514.16</v>
          </cell>
        </row>
        <row r="3005">
          <cell r="A3005">
            <v>204023</v>
          </cell>
          <cell r="B3005" t="str">
            <v>SCH.10, 62,63 KG/M:DIAM. 406 MM (16 POL.)</v>
          </cell>
          <cell r="C3005" t="str">
            <v>M</v>
          </cell>
          <cell r="D3005">
            <v>322.24</v>
          </cell>
        </row>
        <row r="3006">
          <cell r="A3006">
            <v>204024</v>
          </cell>
          <cell r="B3006" t="str">
            <v>SCH.20, 77,86 KG/M:DIAM. 406 MM (16 POL.)</v>
          </cell>
          <cell r="C3006" t="str">
            <v>M</v>
          </cell>
          <cell r="D3006">
            <v>380.87</v>
          </cell>
        </row>
        <row r="3007">
          <cell r="A3007">
            <v>204025</v>
          </cell>
          <cell r="B3007" t="str">
            <v>SCH.10, 54,68 KG/M:DIAM. 356 MM (14 POL.)</v>
          </cell>
          <cell r="C3007" t="str">
            <v>M</v>
          </cell>
          <cell r="D3007">
            <v>282.86</v>
          </cell>
        </row>
        <row r="3008">
          <cell r="A3008">
            <v>204026</v>
          </cell>
          <cell r="B3008" t="str">
            <v>SCH.20, 67,94 KG/M:DIAM. 356 MM (14 POL.)</v>
          </cell>
          <cell r="C3008" t="str">
            <v>M</v>
          </cell>
          <cell r="D3008">
            <v>344.85</v>
          </cell>
        </row>
        <row r="3009">
          <cell r="A3009">
            <v>204027</v>
          </cell>
          <cell r="B3009" t="str">
            <v>SCH.30, 81,28 KG/M:DIAM. 356 MM (14 POL.) - EQ. ATE 300 M</v>
          </cell>
          <cell r="C3009" t="str">
            <v>M</v>
          </cell>
          <cell r="D3009">
            <v>382.66</v>
          </cell>
        </row>
        <row r="3010">
          <cell r="A3010">
            <v>204028</v>
          </cell>
          <cell r="B3010" t="str">
            <v>SCH.30, 81,28 KG/M:DIAM. 356 MM (14 POL.) - EQ. DE 301 A 1000 M</v>
          </cell>
          <cell r="C3010" t="str">
            <v>M</v>
          </cell>
          <cell r="D3010">
            <v>407.64</v>
          </cell>
        </row>
        <row r="3011">
          <cell r="A3011">
            <v>204029</v>
          </cell>
          <cell r="B3011" t="str">
            <v>SCH.30, 81,28 KG/M:DIAM. 356 MM (14 POL.) - EQ. ACIMA DE 1001 M</v>
          </cell>
          <cell r="C3011" t="str">
            <v>M</v>
          </cell>
          <cell r="D3011">
            <v>427.23</v>
          </cell>
        </row>
        <row r="3012">
          <cell r="A3012">
            <v>204030</v>
          </cell>
          <cell r="B3012" t="str">
            <v>SCH.20, 49,72 KG/M:DIAM. 323 MM (12 3/4 POL.)</v>
          </cell>
          <cell r="C3012" t="str">
            <v>M</v>
          </cell>
          <cell r="D3012">
            <v>261.66000000000003</v>
          </cell>
        </row>
        <row r="3013">
          <cell r="A3013">
            <v>204031</v>
          </cell>
          <cell r="B3013" t="str">
            <v>SCH.30, 65,20 KG/M:DIAM. 323 MM (12 3/4 POL.)</v>
          </cell>
          <cell r="C3013" t="str">
            <v>M</v>
          </cell>
          <cell r="D3013">
            <v>315.48</v>
          </cell>
        </row>
        <row r="3014">
          <cell r="A3014">
            <v>204032</v>
          </cell>
          <cell r="B3014" t="str">
            <v>SCH.40, 79,74 KG/M:DIAM. 323 MM (12 3/4 POL.)</v>
          </cell>
          <cell r="C3014" t="str">
            <v>M</v>
          </cell>
          <cell r="D3014">
            <v>359.68</v>
          </cell>
        </row>
        <row r="3015">
          <cell r="A3015">
            <v>204033</v>
          </cell>
          <cell r="B3015" t="str">
            <v>37,57 KG/M: DIAM. 305 MM (12 POL.)</v>
          </cell>
          <cell r="C3015" t="str">
            <v>M</v>
          </cell>
          <cell r="D3015">
            <v>203.14</v>
          </cell>
        </row>
        <row r="3016">
          <cell r="A3016">
            <v>204034</v>
          </cell>
          <cell r="B3016" t="str">
            <v>31,59 KG/M:DIAM. 273 MM (10 3/4 POL.)</v>
          </cell>
          <cell r="C3016" t="str">
            <v>M</v>
          </cell>
          <cell r="D3016">
            <v>175.95</v>
          </cell>
        </row>
        <row r="3017">
          <cell r="A3017">
            <v>204035</v>
          </cell>
          <cell r="B3017" t="str">
            <v>SCH.20, 41,77 KG/M:DIAM. 273 MM (10 3/4 POL.)</v>
          </cell>
          <cell r="C3017" t="str">
            <v>M</v>
          </cell>
          <cell r="D3017">
            <v>216.81</v>
          </cell>
        </row>
        <row r="3018">
          <cell r="A3018">
            <v>204036</v>
          </cell>
          <cell r="B3018" t="str">
            <v>SCH.30, 51,00 KG/M:DIAM. 273 MM (10 3/4 POL.)</v>
          </cell>
          <cell r="C3018" t="str">
            <v>M</v>
          </cell>
          <cell r="D3018">
            <v>250.95</v>
          </cell>
        </row>
        <row r="3019">
          <cell r="A3019">
            <v>204037</v>
          </cell>
          <cell r="B3019" t="str">
            <v>SCH.40, 60,29 KG/M:DIAM. 273 MM (10 3/4 POL.)</v>
          </cell>
          <cell r="C3019" t="str">
            <v>M</v>
          </cell>
          <cell r="D3019">
            <v>312.39</v>
          </cell>
        </row>
        <row r="3020">
          <cell r="A3020">
            <v>204038</v>
          </cell>
          <cell r="B3020" t="str">
            <v>SCH.20, 33,31 KG/M, GALVANIZADO: DIAM. 203 MM (8 POL.)</v>
          </cell>
          <cell r="C3020" t="str">
            <v>M</v>
          </cell>
          <cell r="D3020">
            <v>187.76</v>
          </cell>
        </row>
        <row r="3021">
          <cell r="A3021">
            <v>204039</v>
          </cell>
          <cell r="B3021" t="str">
            <v>DIN 2440, 19,24 KG/M, GALVANIZADO : DIAM. 152 MM (6 POL.)</v>
          </cell>
          <cell r="C3021" t="str">
            <v>M</v>
          </cell>
          <cell r="D3021">
            <v>120.55</v>
          </cell>
        </row>
        <row r="3022">
          <cell r="A3022">
            <v>204040</v>
          </cell>
          <cell r="B3022" t="str">
            <v>DIN 2440, GALVANIZADO : DIAM. 38 MM (1 1/2 POL.)</v>
          </cell>
          <cell r="C3022" t="str">
            <v>M</v>
          </cell>
          <cell r="D3022">
            <v>17.43</v>
          </cell>
        </row>
        <row r="3023">
          <cell r="A3023">
            <v>204041</v>
          </cell>
          <cell r="B3023" t="str">
            <v>SCH.20, 49,72 KG/M, PRETO : DIAM. 305 MM (12 POL.)</v>
          </cell>
          <cell r="C3023" t="str">
            <v>M</v>
          </cell>
          <cell r="D3023">
            <v>209</v>
          </cell>
        </row>
        <row r="3024">
          <cell r="A3024">
            <v>204042</v>
          </cell>
          <cell r="B3024" t="str">
            <v>SCH.20, 41,77 KG/M, PRETO : DIAM. 254 MM (10 POL.)</v>
          </cell>
          <cell r="C3024" t="str">
            <v>M</v>
          </cell>
          <cell r="D3024">
            <v>188.3</v>
          </cell>
        </row>
        <row r="3025">
          <cell r="A3025">
            <v>204043</v>
          </cell>
          <cell r="B3025" t="str">
            <v>SCH.20, 33,31 KG/M, PRETO : DIAM. 203 MM (8 POL.)</v>
          </cell>
          <cell r="C3025" t="str">
            <v>M</v>
          </cell>
          <cell r="D3025">
            <v>148.99</v>
          </cell>
        </row>
        <row r="3026">
          <cell r="A3026">
            <v>204044</v>
          </cell>
          <cell r="B3026" t="str">
            <v>DIN 2440, 19,24 KG/M, PRETO : DIAM. 152 MM (6 POL.)</v>
          </cell>
          <cell r="C3026" t="str">
            <v>M</v>
          </cell>
          <cell r="D3026">
            <v>95.93</v>
          </cell>
        </row>
        <row r="3027">
          <cell r="A3027">
            <v>204045</v>
          </cell>
          <cell r="B3027" t="str">
            <v>DIN 2440, 1,69 KG/M, GALV.: DIAM. 19 MM (3/4 POL.)</v>
          </cell>
          <cell r="C3027" t="str">
            <v>M</v>
          </cell>
          <cell r="D3027">
            <v>0.51</v>
          </cell>
        </row>
        <row r="3029">
          <cell r="A3029">
            <v>204100</v>
          </cell>
          <cell r="B3029" t="str">
            <v>REVESTIMENTO - TUBOS DE ACO LISO API 5 A</v>
          </cell>
        </row>
        <row r="3030">
          <cell r="A3030">
            <v>204101</v>
          </cell>
          <cell r="B3030" t="str">
            <v>140,00 KG/M : DIAM. 508 MM (20") J OU K 55 - EQ. ATE 300 M</v>
          </cell>
          <cell r="C3030" t="str">
            <v>M</v>
          </cell>
          <cell r="D3030">
            <v>687.64</v>
          </cell>
        </row>
        <row r="3031">
          <cell r="A3031">
            <v>204102</v>
          </cell>
          <cell r="B3031" t="str">
            <v>140,00 KG/M: DIAM. 508 MM (20") J OU K 55 - EQ. DE 301 A 1000 M</v>
          </cell>
          <cell r="C3031" t="str">
            <v>M</v>
          </cell>
          <cell r="D3031">
            <v>718.65</v>
          </cell>
        </row>
        <row r="3032">
          <cell r="A3032">
            <v>204103</v>
          </cell>
          <cell r="B3032" t="str">
            <v>140,00 KG/M : DIAM. 508 MM (20") J OU K 55 - EQ. ACIMA DE 1001 M</v>
          </cell>
          <cell r="C3032" t="str">
            <v>M</v>
          </cell>
          <cell r="D3032">
            <v>742.92</v>
          </cell>
        </row>
        <row r="3033">
          <cell r="A3033">
            <v>204104</v>
          </cell>
          <cell r="B3033" t="str">
            <v>158,64 KG/M : DIAM. 508 MM (20") J OU K 55 - EQ. ATE 300 M</v>
          </cell>
          <cell r="C3033" t="str">
            <v>M</v>
          </cell>
          <cell r="D3033">
            <v>768.64</v>
          </cell>
        </row>
        <row r="3034">
          <cell r="A3034">
            <v>204105</v>
          </cell>
          <cell r="B3034" t="str">
            <v>158,64 KG/M : DIAM. 508 MM (20") J OU K 55 - EQ. DE 301 A 1000 M</v>
          </cell>
          <cell r="C3034" t="str">
            <v>M</v>
          </cell>
          <cell r="D3034">
            <v>799.64</v>
          </cell>
        </row>
        <row r="3035">
          <cell r="A3035">
            <v>204106</v>
          </cell>
          <cell r="B3035" t="str">
            <v>158,64 KG/M : DIAM. 508 MM (20") J OU K 55 - EQ. ACIMA DE 1001 M</v>
          </cell>
          <cell r="C3035" t="str">
            <v>M</v>
          </cell>
          <cell r="D3035">
            <v>823.92</v>
          </cell>
        </row>
        <row r="3036">
          <cell r="A3036">
            <v>204107</v>
          </cell>
          <cell r="B3036" t="str">
            <v>130,34 KG/M : DIAM. 473 MM (18 5/8") J OU K 55 - EQ. ATE 300 M</v>
          </cell>
          <cell r="C3036" t="str">
            <v>M</v>
          </cell>
          <cell r="D3036">
            <v>644.53</v>
          </cell>
        </row>
        <row r="3037">
          <cell r="A3037">
            <v>204108</v>
          </cell>
          <cell r="B3037" t="str">
            <v>130,34 KG/M : DIAM. 473 MM (18 5/8") J OU K 55 - EQ. DE 301 A 1000 M</v>
          </cell>
          <cell r="C3037" t="str">
            <v>M</v>
          </cell>
          <cell r="D3037">
            <v>675.52</v>
          </cell>
        </row>
        <row r="3038">
          <cell r="A3038">
            <v>204109</v>
          </cell>
          <cell r="B3038" t="str">
            <v>130,34 KG/M : DIAM. 473 MM (18 5/8") J OU K 55 - EQ. ACIMA DE 1001 M</v>
          </cell>
          <cell r="C3038" t="str">
            <v>M</v>
          </cell>
          <cell r="D3038">
            <v>699.8</v>
          </cell>
        </row>
        <row r="3039">
          <cell r="A3039">
            <v>204110</v>
          </cell>
          <cell r="B3039" t="str">
            <v>96,82 KG/M : DIAM. 406 MM (16") H 40 - EQ. ATE 300 M</v>
          </cell>
          <cell r="C3039" t="str">
            <v>M</v>
          </cell>
          <cell r="D3039">
            <v>535.41</v>
          </cell>
        </row>
        <row r="3040">
          <cell r="A3040">
            <v>204111</v>
          </cell>
          <cell r="B3040" t="str">
            <v>96,82 KG/M : DIAM. 406 MM (16") H 40 - EQ. DE 301 A 1000 M</v>
          </cell>
          <cell r="C3040" t="str">
            <v>M</v>
          </cell>
          <cell r="D3040">
            <v>566.4</v>
          </cell>
        </row>
        <row r="3041">
          <cell r="A3041">
            <v>204112</v>
          </cell>
          <cell r="B3041" t="str">
            <v>96,82 KG/M : DIAM. 406 MM (16") H 40 - EQ. ACIMA DE 1001 M</v>
          </cell>
          <cell r="C3041" t="str">
            <v>M</v>
          </cell>
          <cell r="D3041">
            <v>590.69000000000005</v>
          </cell>
        </row>
        <row r="3042">
          <cell r="A3042">
            <v>204113</v>
          </cell>
          <cell r="B3042" t="str">
            <v>111,71 KG/M : DIAM. 406 MM (16") J OU K 55 - EQ. ATE 300 M</v>
          </cell>
          <cell r="C3042" t="str">
            <v>M</v>
          </cell>
          <cell r="D3042">
            <v>606.16999999999996</v>
          </cell>
        </row>
        <row r="3043">
          <cell r="A3043">
            <v>204114</v>
          </cell>
          <cell r="B3043" t="str">
            <v>111,71 KG/M: DIAM. 406 MM (16") J OU K 55 - EQ. DE 301 A 1000 M</v>
          </cell>
          <cell r="C3043" t="str">
            <v>M</v>
          </cell>
          <cell r="D3043">
            <v>637.16</v>
          </cell>
        </row>
        <row r="3044">
          <cell r="A3044">
            <v>204115</v>
          </cell>
          <cell r="B3044" t="str">
            <v>111,71 KG/M : DIAM. 406 MM (16") J OU K 55 - EQ. ACIMA DE 1001 M</v>
          </cell>
          <cell r="C3044" t="str">
            <v>M</v>
          </cell>
          <cell r="D3044">
            <v>661.44</v>
          </cell>
        </row>
        <row r="3045">
          <cell r="A3045">
            <v>204116</v>
          </cell>
          <cell r="B3045" t="str">
            <v>125,12 KG/M : DIAM. 406 MM (16") J OU K 55 - EQ. ATE 300 M</v>
          </cell>
          <cell r="C3045" t="str">
            <v>M</v>
          </cell>
          <cell r="D3045">
            <v>669.76</v>
          </cell>
        </row>
        <row r="3046">
          <cell r="A3046">
            <v>204117</v>
          </cell>
          <cell r="B3046" t="str">
            <v>125,12 KG/M : DIAM. 406 MM (16") J OU K 55 - EQ. DE 301 A 1000 M</v>
          </cell>
          <cell r="C3046" t="str">
            <v>M</v>
          </cell>
          <cell r="D3046">
            <v>700.75</v>
          </cell>
        </row>
        <row r="3047">
          <cell r="A3047">
            <v>204118</v>
          </cell>
          <cell r="B3047" t="str">
            <v>125,12 KG/M : DIAM. 406 MM (16") J OU K 55 - EQ. ACIMA DE 1001 M</v>
          </cell>
          <cell r="C3047" t="str">
            <v>M</v>
          </cell>
          <cell r="D3047">
            <v>725.03</v>
          </cell>
        </row>
        <row r="3048">
          <cell r="A3048">
            <v>204119</v>
          </cell>
          <cell r="B3048" t="str">
            <v>81,18 KG/M : DIAM. 340 MM (13 3/8") J OU K 55 - EQ. ATE 300 M</v>
          </cell>
          <cell r="C3048" t="str">
            <v>M</v>
          </cell>
          <cell r="D3048">
            <v>445.41</v>
          </cell>
        </row>
        <row r="3049">
          <cell r="A3049">
            <v>204120</v>
          </cell>
          <cell r="B3049" t="str">
            <v>81,18 KG/M : DIAM. 340 MM (13 3/8") J OU K 55 - EQ. DE 301 A 1000 M</v>
          </cell>
          <cell r="C3049" t="str">
            <v>M</v>
          </cell>
          <cell r="D3049">
            <v>470.4</v>
          </cell>
        </row>
        <row r="3050">
          <cell r="A3050">
            <v>204121</v>
          </cell>
          <cell r="B3050" t="str">
            <v>81,18 KG/M : DIAM. 340 MM (13 3/8") J OU K 55 - EQ. ACIMA DE 1001 M</v>
          </cell>
          <cell r="C3050" t="str">
            <v>M</v>
          </cell>
          <cell r="D3050">
            <v>489.99</v>
          </cell>
        </row>
        <row r="3051">
          <cell r="A3051">
            <v>204122</v>
          </cell>
          <cell r="B3051" t="str">
            <v>90,86 KG/M : DIAM. 340 MM (13 3/8") J OU K 55 - EQ. ATE 300 M</v>
          </cell>
          <cell r="C3051" t="str">
            <v>M</v>
          </cell>
          <cell r="D3051">
            <v>490.91</v>
          </cell>
        </row>
        <row r="3052">
          <cell r="A3052">
            <v>204123</v>
          </cell>
          <cell r="B3052" t="str">
            <v>90,86 KG/M : DIAM. 340 MM (13 3/8") J OU K 55 - EQ. DE 301 A 1000 M</v>
          </cell>
          <cell r="C3052" t="str">
            <v>M</v>
          </cell>
          <cell r="D3052">
            <v>515.9</v>
          </cell>
        </row>
        <row r="3053">
          <cell r="A3053">
            <v>204124</v>
          </cell>
          <cell r="B3053" t="str">
            <v>90,86 KG/M : DIAM. 340 MM (13 3/8") J OU K 55 - EQ. ACIMA DE 1001 M</v>
          </cell>
          <cell r="C3053" t="str">
            <v>M</v>
          </cell>
          <cell r="D3053">
            <v>535.49</v>
          </cell>
        </row>
        <row r="3054">
          <cell r="A3054">
            <v>204125</v>
          </cell>
          <cell r="B3054" t="str">
            <v>101,29 KG/M : DIAM. 340 MM (13 3/8") J OU K 55 - EQ. ATE 300 M</v>
          </cell>
          <cell r="C3054" t="str">
            <v>M</v>
          </cell>
          <cell r="D3054">
            <v>540.75</v>
          </cell>
        </row>
        <row r="3055">
          <cell r="A3055">
            <v>204126</v>
          </cell>
          <cell r="B3055" t="str">
            <v>101,29 KG/M : DIAM. 340 MM (13 3/8") J OU K 55 - EQ. DE 301 A 1000 M</v>
          </cell>
          <cell r="C3055" t="str">
            <v>M</v>
          </cell>
          <cell r="D3055">
            <v>565.74</v>
          </cell>
        </row>
        <row r="3056">
          <cell r="A3056">
            <v>204127</v>
          </cell>
          <cell r="B3056" t="str">
            <v>101,29 KG/M : DIAM. 340 MM (13 3/8") J OU K 55 - EQ. ACIMA DE 1001 M</v>
          </cell>
          <cell r="C3056" t="str">
            <v>M</v>
          </cell>
          <cell r="D3056">
            <v>585.33000000000004</v>
          </cell>
        </row>
        <row r="3057">
          <cell r="A3057">
            <v>204128</v>
          </cell>
          <cell r="B3057" t="str">
            <v>60,32 KG/M : DIAM. 273 MM (10 3/4") J OU K 55 - EQ. ATE 300 M</v>
          </cell>
          <cell r="C3057" t="str">
            <v>M</v>
          </cell>
          <cell r="D3057">
            <v>339.15</v>
          </cell>
        </row>
        <row r="3058">
          <cell r="A3058">
            <v>204129</v>
          </cell>
          <cell r="B3058" t="str">
            <v>60,32 KG/M : DIAM. 273 MM (10 3/4") J OU K 55 - EQ. DE 301 A 1000 M</v>
          </cell>
          <cell r="C3058" t="str">
            <v>M</v>
          </cell>
          <cell r="D3058">
            <v>360.69</v>
          </cell>
        </row>
        <row r="3059">
          <cell r="A3059">
            <v>204130</v>
          </cell>
          <cell r="B3059" t="str">
            <v>60,32 KG/M : DIAM. 273 MM (10 3/4") J OU K 55 - EQ. ACIMA DE 1001 M</v>
          </cell>
          <cell r="C3059" t="str">
            <v>M</v>
          </cell>
          <cell r="D3059">
            <v>377.57</v>
          </cell>
        </row>
        <row r="3060">
          <cell r="A3060">
            <v>204131</v>
          </cell>
          <cell r="B3060" t="str">
            <v>67,66 KG/M : DIAM. 273 MM (10 3/4") J OU K 55 - EQ. ATE 300 M</v>
          </cell>
          <cell r="C3060" t="str">
            <v>M</v>
          </cell>
          <cell r="D3060">
            <v>373.82</v>
          </cell>
        </row>
        <row r="3061">
          <cell r="A3061">
            <v>204132</v>
          </cell>
          <cell r="B3061" t="str">
            <v>67,66 KG/M : DIAM. 273 MM (10 3/4") J OU K 55 - EQ. DE 301 A 1000 M</v>
          </cell>
          <cell r="C3061" t="str">
            <v>M</v>
          </cell>
          <cell r="D3061">
            <v>395.36</v>
          </cell>
        </row>
        <row r="3062">
          <cell r="A3062">
            <v>204133</v>
          </cell>
          <cell r="B3062" t="str">
            <v>67,66 KG/M : DIAM. 273 MM (10 3/4") J OU K 55 - EQ. ACIMA DE 1001 M</v>
          </cell>
          <cell r="C3062" t="str">
            <v>M</v>
          </cell>
          <cell r="D3062">
            <v>412.24</v>
          </cell>
        </row>
        <row r="3063">
          <cell r="A3063">
            <v>204134</v>
          </cell>
          <cell r="B3063" t="str">
            <v>75,96 KG/M : DIAM. 273 MM (10 3/4") J OU K 55 - EQ. ATE 300 M</v>
          </cell>
          <cell r="C3063" t="str">
            <v>M</v>
          </cell>
          <cell r="D3063">
            <v>412.81</v>
          </cell>
        </row>
        <row r="3064">
          <cell r="A3064">
            <v>204135</v>
          </cell>
          <cell r="B3064" t="str">
            <v>75,96 KG/M : DIAM. 273 MM (10 3/4") J OU K 55 - EQ. DE 301 A 1000 M</v>
          </cell>
          <cell r="C3064" t="str">
            <v>M</v>
          </cell>
          <cell r="D3064">
            <v>434.36</v>
          </cell>
        </row>
        <row r="3065">
          <cell r="A3065">
            <v>204136</v>
          </cell>
          <cell r="B3065" t="str">
            <v>75,96 KG/M : DIAM. 273 MM (10 3/4") J OU K 55 - EQ. ACIMA DE 1001 M</v>
          </cell>
          <cell r="C3065" t="str">
            <v>M</v>
          </cell>
          <cell r="D3065">
            <v>451.24</v>
          </cell>
        </row>
        <row r="3066">
          <cell r="A3066">
            <v>204137</v>
          </cell>
          <cell r="B3066" t="str">
            <v>48,11 KG/M : DIAM. 244 MM (9 5/8") H 40 - EQ. ATE 300 M</v>
          </cell>
          <cell r="C3066" t="str">
            <v>M</v>
          </cell>
          <cell r="D3066">
            <v>274.14999999999998</v>
          </cell>
        </row>
        <row r="3067">
          <cell r="A3067">
            <v>204138</v>
          </cell>
          <cell r="B3067" t="str">
            <v>48,11 KG/M : DIAM. 244 MM (9 5/8") H 40 - EQ. DE 301 A 1000 M</v>
          </cell>
          <cell r="C3067" t="str">
            <v>M</v>
          </cell>
          <cell r="D3067">
            <v>292.89</v>
          </cell>
        </row>
        <row r="3068">
          <cell r="A3068">
            <v>204139</v>
          </cell>
          <cell r="B3068" t="str">
            <v>48,11 KG/M : DIAM. 244 MM (9 5/8") H 40 - EQ. ACIMA DE 1001 M</v>
          </cell>
          <cell r="C3068" t="str">
            <v>M</v>
          </cell>
          <cell r="D3068">
            <v>307.56</v>
          </cell>
        </row>
        <row r="3069">
          <cell r="A3069">
            <v>204140</v>
          </cell>
          <cell r="B3069" t="str">
            <v>53,62 KG/M : DIAM. 244 MM (9 5/8") J OU K 55 - EQ. ATE 300 M</v>
          </cell>
          <cell r="C3069" t="str">
            <v>M</v>
          </cell>
          <cell r="D3069">
            <v>300.16000000000003</v>
          </cell>
        </row>
        <row r="3070">
          <cell r="A3070">
            <v>204141</v>
          </cell>
          <cell r="B3070" t="str">
            <v>53,62 KG/M : DIAM. 244 MM (9 5/8") J OU K 55 - EQ. DE 301 A 1000 M</v>
          </cell>
          <cell r="C3070" t="str">
            <v>M</v>
          </cell>
          <cell r="D3070">
            <v>318.89999999999998</v>
          </cell>
        </row>
        <row r="3071">
          <cell r="A3071">
            <v>204142</v>
          </cell>
          <cell r="B3071" t="str">
            <v>53,62 KG/M : DIAM. 244 MM (9 5/8") J OU K 55 - EQ. ACIMA DE 1001 M</v>
          </cell>
          <cell r="C3071" t="str">
            <v>M</v>
          </cell>
          <cell r="D3071">
            <v>333.57</v>
          </cell>
        </row>
        <row r="3072">
          <cell r="A3072">
            <v>204143</v>
          </cell>
          <cell r="B3072" t="str">
            <v>59,68 KG/M : DIAM. 244 MM (9 5/8") J OU K 55 - EQ. ATE 300 M</v>
          </cell>
          <cell r="C3072" t="str">
            <v>M</v>
          </cell>
          <cell r="D3072">
            <v>328.32</v>
          </cell>
        </row>
        <row r="3073">
          <cell r="A3073">
            <v>204144</v>
          </cell>
          <cell r="B3073" t="str">
            <v>59,68 KG/M : DIAM. 244 MM (9 5/8") J OU K 55 - EQ. DE 301 A 1000 M</v>
          </cell>
          <cell r="C3073" t="str">
            <v>M</v>
          </cell>
          <cell r="D3073">
            <v>347.06</v>
          </cell>
        </row>
        <row r="3074">
          <cell r="A3074">
            <v>204145</v>
          </cell>
          <cell r="B3074" t="str">
            <v>59,68 KG/M : DIAM. 244 MM (9 5/8") J OU K 55 - EQ. ACIMA DE 1001 M</v>
          </cell>
          <cell r="C3074" t="str">
            <v>M</v>
          </cell>
          <cell r="D3074">
            <v>361.73</v>
          </cell>
        </row>
        <row r="3075">
          <cell r="A3075">
            <v>204146</v>
          </cell>
          <cell r="B3075" t="str">
            <v>35,75 KG/M : DIAM. 219 MM (8 5/8") J OU K 55</v>
          </cell>
          <cell r="C3075" t="str">
            <v>M</v>
          </cell>
          <cell r="D3075">
            <v>232.33</v>
          </cell>
        </row>
        <row r="3076">
          <cell r="A3076">
            <v>204147</v>
          </cell>
          <cell r="B3076" t="str">
            <v>47,66 KG/M : DIAM. 219 MM (8 5/8") J OU K 55 - EQ. DE 301 A 1000 M</v>
          </cell>
          <cell r="C3076" t="str">
            <v>M</v>
          </cell>
          <cell r="D3076">
            <v>313.91000000000003</v>
          </cell>
        </row>
        <row r="3077">
          <cell r="A3077">
            <v>204148</v>
          </cell>
          <cell r="B3077" t="str">
            <v>47,66 KG/M : DIAM. 219 MM (8 5/8") J OU K 55 - EQ. ACIMA DE 1001 M</v>
          </cell>
          <cell r="C3077" t="str">
            <v>M</v>
          </cell>
          <cell r="D3077">
            <v>328.58</v>
          </cell>
        </row>
        <row r="3078">
          <cell r="A3078">
            <v>204149</v>
          </cell>
          <cell r="B3078" t="str">
            <v>53,62 KG/M : DIAM. 219 MM (8 5/8") J OU K 55 - EQ.DE 301 A 1000 M</v>
          </cell>
          <cell r="C3078" t="str">
            <v>M</v>
          </cell>
          <cell r="D3078">
            <v>346.39</v>
          </cell>
        </row>
        <row r="3079">
          <cell r="A3079">
            <v>204150</v>
          </cell>
          <cell r="B3079" t="str">
            <v>53,62 KG/M : DIAM. 219 MM (8 5/8") J OU K 55 - EQ. ACIMA DE 1001 M</v>
          </cell>
          <cell r="C3079" t="str">
            <v>M</v>
          </cell>
          <cell r="D3079">
            <v>361.06</v>
          </cell>
        </row>
        <row r="3080">
          <cell r="A3080">
            <v>204151</v>
          </cell>
          <cell r="B3080" t="str">
            <v>29,79 KG/M : DIAM. 168 MM (6 5/8") J OU K 55</v>
          </cell>
          <cell r="C3080" t="str">
            <v>M</v>
          </cell>
          <cell r="D3080">
            <v>199.31</v>
          </cell>
        </row>
        <row r="3081">
          <cell r="A3081">
            <v>204152</v>
          </cell>
          <cell r="B3081" t="str">
            <v>35,75 KG/M : DIAM. 168 MM (6 5/8") J OU K 55 - EQ. DE 301 A 1000 M</v>
          </cell>
          <cell r="C3081" t="str">
            <v>M</v>
          </cell>
          <cell r="D3081">
            <v>248.39</v>
          </cell>
        </row>
        <row r="3082">
          <cell r="A3082">
            <v>204153</v>
          </cell>
          <cell r="B3082" t="str">
            <v>35,75 KG/M : DIAM. 168 MM (6 5/8") J OU K 55 - EQ. ACIMA DE 1001 M</v>
          </cell>
          <cell r="C3082" t="str">
            <v>M</v>
          </cell>
          <cell r="D3082">
            <v>263.06</v>
          </cell>
        </row>
        <row r="3084">
          <cell r="A3084" t="str">
            <v>210000</v>
          </cell>
          <cell r="B3084" t="str">
            <v>SERVICOS ESPECIAIS</v>
          </cell>
        </row>
        <row r="3085">
          <cell r="A3085" t="str">
            <v>210100</v>
          </cell>
          <cell r="B3085" t="str">
            <v>PESQUISA E DETECCAO</v>
          </cell>
        </row>
        <row r="3086">
          <cell r="A3086" t="str">
            <v>210101</v>
          </cell>
          <cell r="B3086" t="str">
            <v>PESQUISA DE INTERFERENCIAS</v>
          </cell>
          <cell r="C3086" t="str">
            <v>M3</v>
          </cell>
          <cell r="D3086">
            <v>18.32</v>
          </cell>
        </row>
        <row r="3087">
          <cell r="A3087" t="str">
            <v>210102</v>
          </cell>
          <cell r="B3087" t="str">
            <v>PESQUISA DE VAZAMENTOS INVISIVEIS DE REDE DE AGUA E RAMAL</v>
          </cell>
          <cell r="C3087" t="str">
            <v>KM</v>
          </cell>
          <cell r="D3087">
            <v>380.39</v>
          </cell>
        </row>
        <row r="3088">
          <cell r="A3088" t="str">
            <v>210103</v>
          </cell>
          <cell r="B3088" t="str">
            <v>DETECCAO ELETROMAGNETICA DE REDE DE AGUA</v>
          </cell>
          <cell r="C3088" t="str">
            <v>M</v>
          </cell>
          <cell r="D3088">
            <v>1.33</v>
          </cell>
        </row>
        <row r="3089">
          <cell r="A3089" t="str">
            <v>210104</v>
          </cell>
          <cell r="B3089" t="str">
            <v>DETECCAO ELETROMAGNETICA DE PECAS DE AGUA</v>
          </cell>
          <cell r="C3089" t="str">
            <v>UN</v>
          </cell>
          <cell r="D3089">
            <v>50.03</v>
          </cell>
        </row>
        <row r="3090">
          <cell r="A3090" t="str">
            <v>210105</v>
          </cell>
          <cell r="B3090" t="str">
            <v>DETECCAO PELO METODO DE SONDAGEM COM VARAS METALICAS EM REDES DE AGUA</v>
          </cell>
          <cell r="C3090" t="str">
            <v>M</v>
          </cell>
          <cell r="D3090">
            <v>1.17</v>
          </cell>
        </row>
        <row r="3091">
          <cell r="A3091" t="str">
            <v>210106</v>
          </cell>
          <cell r="B3091" t="str">
            <v>SONDAGEM DE REDES E PECAS LOCALIZADAS (CAVAS) COM PAVIMENTACAO</v>
          </cell>
          <cell r="C3091" t="str">
            <v>UN</v>
          </cell>
          <cell r="D3091">
            <v>161.38999999999999</v>
          </cell>
        </row>
        <row r="3092">
          <cell r="A3092" t="str">
            <v>210107</v>
          </cell>
          <cell r="B3092" t="str">
            <v>SONDAGEM DE REDES E PECAS LOCALIZADAS (CAVAS) SEM PAVIMENTACAO</v>
          </cell>
          <cell r="C3092" t="str">
            <v>UN</v>
          </cell>
          <cell r="D3092">
            <v>133.19</v>
          </cell>
        </row>
        <row r="3093">
          <cell r="A3093" t="str">
            <v>210110</v>
          </cell>
          <cell r="B3093" t="str">
            <v>DESCOBRIMENTO E NIVELAMENTO DE PV,PI,TL</v>
          </cell>
          <cell r="C3093" t="str">
            <v>UN</v>
          </cell>
          <cell r="D3093">
            <v>115.85</v>
          </cell>
        </row>
        <row r="3095">
          <cell r="A3095" t="str">
            <v>210600</v>
          </cell>
          <cell r="B3095" t="str">
            <v>LEVANTAMENTO E RECOMPOSICAO DE SUPERFICIE</v>
          </cell>
        </row>
        <row r="3096">
          <cell r="A3096" t="str">
            <v>210601</v>
          </cell>
          <cell r="B3096" t="str">
            <v>REMOCAO DE ENTULHO RETIRADO DE VALA, QUALQUER DISTANCIA</v>
          </cell>
          <cell r="C3096" t="str">
            <v>M2</v>
          </cell>
          <cell r="D3096">
            <v>14.2</v>
          </cell>
        </row>
        <row r="3097">
          <cell r="A3097" t="str">
            <v>210602</v>
          </cell>
          <cell r="B3097" t="str">
            <v>MOBILIZACAO DE EQUIPE PARA LEVANTAMENTO E REPOSICAO DE PAVIMENTO</v>
          </cell>
          <cell r="C3097" t="str">
            <v>M2</v>
          </cell>
          <cell r="D3097">
            <v>5.73</v>
          </cell>
        </row>
        <row r="3099">
          <cell r="A3099" t="str">
            <v>210700</v>
          </cell>
          <cell r="B3099" t="str">
            <v>SERVICOS DE CONSERVACAO DE AREAS</v>
          </cell>
        </row>
        <row r="3100">
          <cell r="A3100" t="str">
            <v>210701</v>
          </cell>
          <cell r="B3100" t="str">
            <v>CONSERV. DE AREAS VERDES(CAPINA C/REMOCAO VEGET. DIVERSAS EXTERMINIO PRAGAS EM CAMINHOS E/OU FAIXA)</v>
          </cell>
          <cell r="C3100" t="str">
            <v>M2</v>
          </cell>
          <cell r="D3100">
            <v>0.22</v>
          </cell>
        </row>
        <row r="3101">
          <cell r="A3101" t="str">
            <v>210703</v>
          </cell>
          <cell r="B3101" t="str">
            <v>LIMPEZA DE CANALETAS DE DRENAGEM SUPERFICIAL</v>
          </cell>
          <cell r="C3101" t="str">
            <v>M</v>
          </cell>
          <cell r="D3101">
            <v>0.25</v>
          </cell>
        </row>
        <row r="3102">
          <cell r="A3102" t="str">
            <v>210704</v>
          </cell>
          <cell r="B3102" t="str">
            <v>IRRIGACAO DE AREA GRAMADA COM CAMINHAO IRRIGADEIRA</v>
          </cell>
          <cell r="C3102" t="str">
            <v>M2</v>
          </cell>
          <cell r="D3102">
            <v>0.03</v>
          </cell>
        </row>
        <row r="3103">
          <cell r="A3103" t="str">
            <v>210705</v>
          </cell>
          <cell r="B3103" t="str">
            <v>LIMPEZA DE CAIXA DE PASSAGEM OU BUEIRO</v>
          </cell>
          <cell r="C3103" t="str">
            <v>UN</v>
          </cell>
          <cell r="D3103">
            <v>9.0399999999999991</v>
          </cell>
        </row>
        <row r="3104">
          <cell r="A3104" t="str">
            <v>210706</v>
          </cell>
          <cell r="B3104" t="str">
            <v>ALTEAMENTO DO FECHAMENTO DE DIVISA COM 3 FIOS DE  ARAME FARPADO</v>
          </cell>
          <cell r="C3104" t="str">
            <v>M</v>
          </cell>
          <cell r="D3104">
            <v>5.47</v>
          </cell>
        </row>
        <row r="3105">
          <cell r="A3105" t="str">
            <v>210707</v>
          </cell>
          <cell r="B3105" t="str">
            <v>CONSERVACAO DE FAIXAS DE CIRCULACAO DE 1,00 M JUNTO  AS DIVISAS - ROCAGEM COM REMOCAO DA VEGETACAO</v>
          </cell>
          <cell r="C3105" t="str">
            <v>M</v>
          </cell>
          <cell r="D3105">
            <v>0.17</v>
          </cell>
        </row>
        <row r="3106">
          <cell r="A3106" t="str">
            <v>210708</v>
          </cell>
          <cell r="B3106" t="str">
            <v>CONSERVACAO DE FAIXAS DE CIRCULACAO - PINTURA DOS MARCOS COM LATEX E NUMERACAO COM TINTA A OLEO</v>
          </cell>
          <cell r="C3106" t="str">
            <v>UN</v>
          </cell>
          <cell r="D3106">
            <v>6.41</v>
          </cell>
        </row>
        <row r="3107">
          <cell r="A3107" t="str">
            <v>210709</v>
          </cell>
          <cell r="B3107" t="str">
            <v>CONSERVACAO DE FAIXAS DE CIRCULACAO-PINTURA DOS MARCOS A OLEO E NUMERACAO COM TINTA A OLEO</v>
          </cell>
          <cell r="C3107" t="str">
            <v>UN</v>
          </cell>
          <cell r="D3107">
            <v>8.91</v>
          </cell>
        </row>
        <row r="3108">
          <cell r="A3108" t="str">
            <v>210710</v>
          </cell>
          <cell r="B3108" t="str">
            <v>CONSERVACAO DE FAIXAS DE CIRCULACAO-REPOSICAO DE MARCOS</v>
          </cell>
          <cell r="C3108" t="str">
            <v>UN</v>
          </cell>
          <cell r="D3108">
            <v>10.98</v>
          </cell>
        </row>
        <row r="3109">
          <cell r="A3109" t="str">
            <v>210711</v>
          </cell>
          <cell r="B3109" t="str">
            <v>CONSERVACAO DE FAIXAS DE CIRCULACAO-REPOSICAO DE  FIOS ARREBENTADOS OU ARRANCADOS</v>
          </cell>
          <cell r="C3109" t="str">
            <v>M</v>
          </cell>
          <cell r="D3109">
            <v>0.46</v>
          </cell>
        </row>
        <row r="3110">
          <cell r="A3110" t="str">
            <v>210712</v>
          </cell>
          <cell r="B3110" t="str">
            <v>CONSERVACAO DE FAIXAS DE CIRCULACAO-REPOSICAO DE MOUROES DE CONCRETO</v>
          </cell>
          <cell r="C3110" t="str">
            <v>UN</v>
          </cell>
          <cell r="D3110">
            <v>33.630000000000003</v>
          </cell>
        </row>
        <row r="3111">
          <cell r="A3111" t="str">
            <v>210715</v>
          </cell>
          <cell r="B3111" t="str">
            <v>CONSERVACAO DE AREAS VERDES - CORTES E MANUTENCAO DO GRAMADO EM AREAS PLANAS</v>
          </cell>
          <cell r="C3111" t="str">
            <v>M2</v>
          </cell>
          <cell r="D3111">
            <v>0.28999999999999998</v>
          </cell>
        </row>
        <row r="3112">
          <cell r="A3112" t="str">
            <v>210716</v>
          </cell>
          <cell r="B3112" t="str">
            <v>CONSERVACAO DE AREAS VERDES - CORTE E MANUTENCAO DO GRAMADO EM TALUDES</v>
          </cell>
          <cell r="C3112" t="str">
            <v>M2</v>
          </cell>
          <cell r="D3112">
            <v>0.37</v>
          </cell>
        </row>
        <row r="3113">
          <cell r="A3113" t="str">
            <v>210717</v>
          </cell>
          <cell r="B3113" t="str">
            <v>CONSERVACAO DE AREAS VERDES-ROCAGEM SEM REMOCAO VEGET.DIVERSAS EXTERM. PRAGAS EM FAIXAS DE ADUTORAS</v>
          </cell>
          <cell r="C3113" t="str">
            <v>M2</v>
          </cell>
          <cell r="D3113">
            <v>0.15</v>
          </cell>
        </row>
        <row r="3114">
          <cell r="A3114" t="str">
            <v>210718</v>
          </cell>
          <cell r="B3114" t="str">
            <v>CONSERVACAO DE AREAS VERDES-ROCAGEM COM REMOCAO VEGET.DIVER.EXTERM.PRAGAS FAIXAS ESTR.MARGEM/CANAIS</v>
          </cell>
          <cell r="C3114" t="str">
            <v>M</v>
          </cell>
          <cell r="D3114">
            <v>0.74</v>
          </cell>
        </row>
        <row r="3115">
          <cell r="A3115" t="str">
            <v>210719</v>
          </cell>
          <cell r="B3115" t="str">
            <v>CONSERVACAO DE AREAS VERDES-ROCAGEM E APLICACAO DE HERBICIDA NA VEGETACAO DE PATIOS EMPEDRADOS</v>
          </cell>
          <cell r="C3115" t="str">
            <v>M2</v>
          </cell>
          <cell r="D3115">
            <v>1.38</v>
          </cell>
        </row>
        <row r="3116">
          <cell r="A3116" t="str">
            <v>210720</v>
          </cell>
          <cell r="B3116" t="str">
            <v>CONSERVACAO DE AREAS VERDES-LIMPEZA DE TALUDES PROTEGIDOS COM ENROCAMENTO</v>
          </cell>
          <cell r="C3116" t="str">
            <v>M2</v>
          </cell>
          <cell r="D3116">
            <v>0.54</v>
          </cell>
        </row>
        <row r="3117">
          <cell r="A3117" t="str">
            <v>210721</v>
          </cell>
          <cell r="B3117" t="str">
            <v>CONSERVACAO DE AREAS VERDES-RECOBRIMENTO DE AREA  GRAMADA COM TERRA VEGETAL E ADUBACAO</v>
          </cell>
          <cell r="C3117" t="str">
            <v>M2</v>
          </cell>
          <cell r="D3117">
            <v>1.46</v>
          </cell>
        </row>
        <row r="3118">
          <cell r="A3118" t="str">
            <v>210723</v>
          </cell>
          <cell r="B3118" t="str">
            <v>COLOCACAO ARAME FARPADO EM MOUROES EXISTENTES - 11 FIOS</v>
          </cell>
          <cell r="C3118" t="str">
            <v>M</v>
          </cell>
          <cell r="D3118">
            <v>3.92</v>
          </cell>
        </row>
        <row r="3119">
          <cell r="A3119" t="str">
            <v>210724</v>
          </cell>
          <cell r="B3119" t="str">
            <v>COLOCACAO ARAME FARPADO EM MOUROES EXIXTENTES - 5 FIOS</v>
          </cell>
          <cell r="C3119" t="str">
            <v>M</v>
          </cell>
          <cell r="D3119">
            <v>1.88</v>
          </cell>
        </row>
        <row r="3120">
          <cell r="A3120" t="str">
            <v>210725</v>
          </cell>
          <cell r="B3120" t="str">
            <v>COLOCACAO TELA DE ALAMBRADO EM MOUROES EXISTENTES</v>
          </cell>
          <cell r="C3120" t="str">
            <v>M</v>
          </cell>
          <cell r="D3120">
            <v>19.489999999999998</v>
          </cell>
        </row>
        <row r="3121">
          <cell r="A3121" t="str">
            <v>210800</v>
          </cell>
          <cell r="B3121" t="str">
            <v>DEMOLICOES E REMOCOES</v>
          </cell>
          <cell r="D3121">
            <v>0</v>
          </cell>
        </row>
        <row r="3122">
          <cell r="A3122" t="str">
            <v>210801</v>
          </cell>
          <cell r="B3122" t="str">
            <v>DEMOLICAO DE ALVENARIA</v>
          </cell>
          <cell r="C3122" t="str">
            <v>M3</v>
          </cell>
          <cell r="D3122">
            <v>58.58</v>
          </cell>
        </row>
        <row r="3123">
          <cell r="A3123" t="str">
            <v>210802</v>
          </cell>
          <cell r="B3123" t="str">
            <v>DEMOLICAO DE CONCRETO ARMADO</v>
          </cell>
          <cell r="C3123" t="str">
            <v>M3</v>
          </cell>
          <cell r="D3123">
            <v>123.42</v>
          </cell>
        </row>
        <row r="3124">
          <cell r="A3124" t="str">
            <v>210803</v>
          </cell>
          <cell r="B3124" t="str">
            <v>DEMOLICAO DE CONCRETO SIMPLES</v>
          </cell>
          <cell r="C3124" t="str">
            <v>M3</v>
          </cell>
          <cell r="D3124">
            <v>64.099999999999994</v>
          </cell>
        </row>
        <row r="3125">
          <cell r="A3125" t="str">
            <v>210804</v>
          </cell>
          <cell r="B3125" t="str">
            <v>REMOCAO DE PISO</v>
          </cell>
          <cell r="C3125" t="str">
            <v>M2</v>
          </cell>
          <cell r="D3125">
            <v>12.04</v>
          </cell>
        </row>
        <row r="3126">
          <cell r="A3126" t="str">
            <v>210805</v>
          </cell>
          <cell r="B3126" t="str">
            <v>REMOCAO DE TELHAS DE BARRO</v>
          </cell>
          <cell r="C3126" t="str">
            <v>M2</v>
          </cell>
          <cell r="D3126">
            <v>4.3600000000000003</v>
          </cell>
        </row>
        <row r="3127">
          <cell r="A3127" t="str">
            <v>210806</v>
          </cell>
          <cell r="B3127" t="str">
            <v>REMOCAO DE TELHAS ONDULADAS</v>
          </cell>
          <cell r="C3127" t="str">
            <v>M2</v>
          </cell>
          <cell r="D3127">
            <v>1.79</v>
          </cell>
        </row>
        <row r="3128">
          <cell r="A3128" t="str">
            <v>210807</v>
          </cell>
          <cell r="B3128" t="str">
            <v>REMOCAO DE TELHAS DE FIBROCIMENTO L = 49 CM</v>
          </cell>
          <cell r="C3128" t="str">
            <v>M2</v>
          </cell>
          <cell r="D3128">
            <v>1.88</v>
          </cell>
        </row>
        <row r="3129">
          <cell r="A3129" t="str">
            <v>210808</v>
          </cell>
          <cell r="B3129" t="str">
            <v>REMOCAO DE TELHAS DE FIBROCIMENTO L = 90 CM</v>
          </cell>
          <cell r="C3129" t="str">
            <v>M2</v>
          </cell>
          <cell r="D3129">
            <v>1.96</v>
          </cell>
        </row>
        <row r="3130">
          <cell r="A3130" t="str">
            <v>210809</v>
          </cell>
          <cell r="B3130" t="str">
            <v>REMOCAO DE ESTRUTURA DE MADEIRA EM TESOURA PONTALETADA OU MISTA PARA TELHAS DE BARRO</v>
          </cell>
          <cell r="C3130" t="str">
            <v>M2</v>
          </cell>
          <cell r="D3130">
            <v>8.3699999999999992</v>
          </cell>
        </row>
        <row r="3131">
          <cell r="A3131" t="str">
            <v>210810</v>
          </cell>
          <cell r="B3131" t="str">
            <v>REMOCAO DE ESTRUTURA DE MADEIRA EM TESOURA PONTALETADA OU MISTA PARA TELHAS DE FIBROCIMENTO</v>
          </cell>
          <cell r="C3131" t="str">
            <v>M2</v>
          </cell>
          <cell r="D3131">
            <v>5.57</v>
          </cell>
        </row>
        <row r="3132">
          <cell r="A3132" t="str">
            <v>210811</v>
          </cell>
          <cell r="B3132" t="str">
            <v>REMOCAO DE CAIBROS DE ESTRUTURA DE MADEIRA DA COBERTURA</v>
          </cell>
          <cell r="C3132" t="str">
            <v>M</v>
          </cell>
          <cell r="D3132">
            <v>0.82</v>
          </cell>
        </row>
        <row r="3133">
          <cell r="A3133" t="str">
            <v>210812</v>
          </cell>
          <cell r="B3133" t="str">
            <v>REMOCAO DE RIPAS DE ESTRUTURA DE MADEIRA DA COBERTURA</v>
          </cell>
          <cell r="C3133" t="str">
            <v>M</v>
          </cell>
          <cell r="D3133">
            <v>0.1</v>
          </cell>
        </row>
        <row r="3134">
          <cell r="A3134" t="str">
            <v>210813</v>
          </cell>
          <cell r="B3134" t="str">
            <v>REMOCAO DE CALHAS E RUFOS</v>
          </cell>
          <cell r="C3134" t="str">
            <v>M</v>
          </cell>
          <cell r="D3134">
            <v>1.5</v>
          </cell>
        </row>
        <row r="3135">
          <cell r="A3135" t="str">
            <v>210814</v>
          </cell>
          <cell r="B3135" t="str">
            <v>REMOCAO DE FORROS DE MADEIRA PREGADAS</v>
          </cell>
          <cell r="C3135" t="str">
            <v>M2</v>
          </cell>
          <cell r="D3135">
            <v>3.89</v>
          </cell>
        </row>
        <row r="3136">
          <cell r="A3136" t="str">
            <v>210815</v>
          </cell>
          <cell r="B3136" t="str">
            <v>REMOCAO DE FORRO DE ESTUQUE</v>
          </cell>
          <cell r="C3136" t="str">
            <v>M2</v>
          </cell>
          <cell r="D3136">
            <v>3.39</v>
          </cell>
        </row>
        <row r="3137">
          <cell r="A3137" t="str">
            <v>210816</v>
          </cell>
          <cell r="B3137" t="str">
            <v>REMOCAO DE REVESTIMENTO COM ARGAMASSA</v>
          </cell>
          <cell r="C3137" t="str">
            <v>M2</v>
          </cell>
          <cell r="D3137">
            <v>1.29</v>
          </cell>
        </row>
        <row r="3138">
          <cell r="A3138" t="str">
            <v>210817</v>
          </cell>
          <cell r="B3138" t="str">
            <v>REMOCAO DE REVESTIMENTO DE AZULEJO, INCLUSIVE ARGAMASSA</v>
          </cell>
          <cell r="C3138" t="str">
            <v>M2</v>
          </cell>
          <cell r="D3138">
            <v>2.59</v>
          </cell>
        </row>
        <row r="3139">
          <cell r="A3139" t="str">
            <v>210818</v>
          </cell>
          <cell r="B3139" t="str">
            <v>REMOCAO DE CAIACAO OU TINTA MINERAL IMPERMEAVEL</v>
          </cell>
          <cell r="C3139" t="str">
            <v>M2</v>
          </cell>
          <cell r="D3139">
            <v>0.73</v>
          </cell>
        </row>
        <row r="3140">
          <cell r="A3140" t="str">
            <v>210819</v>
          </cell>
          <cell r="B3140" t="str">
            <v>REMOCAO DE PINTURA OLEO, ESMALTE, LATEX ACRILICO EM PAREDES</v>
          </cell>
          <cell r="C3140" t="str">
            <v>M2</v>
          </cell>
          <cell r="D3140">
            <v>1.58</v>
          </cell>
        </row>
        <row r="3141">
          <cell r="A3141" t="str">
            <v>210820</v>
          </cell>
          <cell r="B3141" t="str">
            <v>REMOCAO DE PINTURA A OLEO, ESMALTE OU VERNIZ EM ESQUADRIAS DE MADEIRA</v>
          </cell>
          <cell r="C3141" t="str">
            <v>M2</v>
          </cell>
          <cell r="D3141">
            <v>2.3199999999999998</v>
          </cell>
        </row>
        <row r="3142">
          <cell r="A3142" t="str">
            <v>210821</v>
          </cell>
          <cell r="B3142" t="str">
            <v>REMOCAO DE PINTURA A OLEO, ESMALTE, ALUMINIO, GRAFITE EM ESQUADRIAS DE FERRO</v>
          </cell>
          <cell r="C3142" t="str">
            <v>M2</v>
          </cell>
          <cell r="D3142">
            <v>2.48</v>
          </cell>
        </row>
        <row r="3143">
          <cell r="A3143" t="str">
            <v>210822</v>
          </cell>
          <cell r="B3143" t="str">
            <v>REMOCAO DE FOLHAS DE PORTAS OU JANELAS DE MADEIRA</v>
          </cell>
          <cell r="C3143" t="str">
            <v>UN</v>
          </cell>
          <cell r="D3143">
            <v>3.71</v>
          </cell>
        </row>
        <row r="3144">
          <cell r="A3144" t="str">
            <v>210823</v>
          </cell>
          <cell r="B3144" t="str">
            <v>REMOCAO DE BATENTES DE MADEIRA</v>
          </cell>
          <cell r="C3144" t="str">
            <v>UN</v>
          </cell>
          <cell r="D3144">
            <v>16.79</v>
          </cell>
        </row>
        <row r="3145">
          <cell r="A3145" t="str">
            <v>210824</v>
          </cell>
          <cell r="B3145" t="str">
            <v>REMOCAO DE FECHADURAS DE EMBUTIR</v>
          </cell>
          <cell r="C3145" t="str">
            <v>UN</v>
          </cell>
          <cell r="D3145">
            <v>3.71</v>
          </cell>
        </row>
        <row r="3146">
          <cell r="A3146" t="str">
            <v>210825</v>
          </cell>
          <cell r="B3146" t="str">
            <v>REMOCAO DE ESQUADRIAS METALICAS</v>
          </cell>
          <cell r="C3146" t="str">
            <v>M2</v>
          </cell>
          <cell r="D3146">
            <v>9.8000000000000007</v>
          </cell>
        </row>
        <row r="3147">
          <cell r="A3147" t="str">
            <v>210826</v>
          </cell>
          <cell r="B3147" t="str">
            <v>REMOCAO DE VIDROS, INCLUSIVE RASPAGEM DE MASSA OU RETIRADA DE BAGUETES</v>
          </cell>
          <cell r="C3147" t="str">
            <v>M2</v>
          </cell>
          <cell r="D3147">
            <v>5.04</v>
          </cell>
        </row>
        <row r="3148">
          <cell r="A3148" t="str">
            <v>210827</v>
          </cell>
          <cell r="B3148" t="str">
            <v>REMOCAO DE TUBULACOES EM GERAL</v>
          </cell>
          <cell r="C3148" t="str">
            <v>M</v>
          </cell>
          <cell r="D3148">
            <v>2.59</v>
          </cell>
        </row>
        <row r="3149">
          <cell r="A3149" t="str">
            <v>210828</v>
          </cell>
          <cell r="B3149" t="str">
            <v>REMOCAO DE REGISTRO E VALVULAS DE DESCARGA</v>
          </cell>
          <cell r="C3149" t="str">
            <v>UN</v>
          </cell>
          <cell r="D3149">
            <v>31.41</v>
          </cell>
        </row>
        <row r="3150">
          <cell r="A3150" t="str">
            <v>210829</v>
          </cell>
          <cell r="B3150" t="str">
            <v>REMOCAO APARELHOS SANITARIOS, INCLUSIVE OS ACESSORIOS</v>
          </cell>
          <cell r="C3150" t="str">
            <v>UN</v>
          </cell>
          <cell r="D3150">
            <v>11.86</v>
          </cell>
        </row>
        <row r="3151">
          <cell r="A3151" t="str">
            <v>210830</v>
          </cell>
          <cell r="B3151" t="str">
            <v>REMOCAO DE CAIXAS ESTAMPADAS</v>
          </cell>
          <cell r="C3151" t="str">
            <v>UN</v>
          </cell>
          <cell r="D3151">
            <v>0.78</v>
          </cell>
        </row>
        <row r="3152">
          <cell r="A3152" t="str">
            <v>210831</v>
          </cell>
          <cell r="B3152" t="str">
            <v>REMOCAO DE INTERRUPTORES E TOMADAS</v>
          </cell>
          <cell r="C3152" t="str">
            <v>UN</v>
          </cell>
          <cell r="D3152">
            <v>6.54</v>
          </cell>
        </row>
        <row r="3153">
          <cell r="A3153" t="str">
            <v>210832</v>
          </cell>
          <cell r="B3153" t="str">
            <v>REMOCAO DE APARELHOS DE ILUMINACAO PARA LAMPADAS   INCANDESCENTES</v>
          </cell>
          <cell r="C3153" t="str">
            <v>UN</v>
          </cell>
          <cell r="D3153">
            <v>6.54</v>
          </cell>
        </row>
        <row r="3154">
          <cell r="A3154" t="str">
            <v>210833</v>
          </cell>
          <cell r="B3154" t="str">
            <v>REMOCAO DE APARELHOS DE ILUMINACAO PARA LAMPADAS FLUORESCENTE</v>
          </cell>
          <cell r="C3154" t="str">
            <v>UN</v>
          </cell>
          <cell r="D3154">
            <v>12.32</v>
          </cell>
        </row>
        <row r="3155">
          <cell r="A3155" t="str">
            <v>210834</v>
          </cell>
          <cell r="B3155" t="str">
            <v>REMOCAO DE FIOS ELETRICOS</v>
          </cell>
          <cell r="C3155" t="str">
            <v>M</v>
          </cell>
          <cell r="D3155">
            <v>0.78</v>
          </cell>
        </row>
        <row r="3156">
          <cell r="A3156" t="str">
            <v>210835</v>
          </cell>
          <cell r="B3156" t="str">
            <v>REMOCAO DE CERCA DE ARAME FARPADO 5 FIOS</v>
          </cell>
          <cell r="C3156" t="str">
            <v>M</v>
          </cell>
          <cell r="D3156">
            <v>5.04</v>
          </cell>
        </row>
        <row r="3157">
          <cell r="A3157" t="str">
            <v>210836</v>
          </cell>
          <cell r="B3157" t="str">
            <v>REMOCAO DE CERCA DE ARAME FARPADO 11 FIOS</v>
          </cell>
          <cell r="C3157" t="str">
            <v>M</v>
          </cell>
          <cell r="D3157">
            <v>8.31</v>
          </cell>
        </row>
        <row r="3158">
          <cell r="A3158" t="str">
            <v>210837</v>
          </cell>
          <cell r="B3158" t="str">
            <v>REMOCAO DE ARAME FARPADO DE CERCA DE ARAME FARPADO</v>
          </cell>
          <cell r="C3158" t="str">
            <v>M</v>
          </cell>
          <cell r="D3158">
            <v>3.27</v>
          </cell>
        </row>
        <row r="3159">
          <cell r="A3159" t="str">
            <v>210838</v>
          </cell>
          <cell r="B3159" t="str">
            <v>REMOCAO DE CERCA EM ALAMBRADO</v>
          </cell>
          <cell r="C3159" t="str">
            <v>M</v>
          </cell>
          <cell r="D3159">
            <v>14.53</v>
          </cell>
        </row>
        <row r="3160">
          <cell r="A3160" t="str">
            <v>210839</v>
          </cell>
          <cell r="B3160" t="str">
            <v>REMOCAO DE TELA DE ALAMBRADO DE CERCA EM ALAMBRADO</v>
          </cell>
          <cell r="C3160" t="str">
            <v>M</v>
          </cell>
          <cell r="D3160">
            <v>3.25</v>
          </cell>
        </row>
        <row r="3161">
          <cell r="A3161" t="str">
            <v>210840</v>
          </cell>
          <cell r="B3161" t="str">
            <v>REMOCAO DE PORTAO DE TELA</v>
          </cell>
          <cell r="C3161" t="str">
            <v>M2</v>
          </cell>
          <cell r="D3161">
            <v>2.2400000000000002</v>
          </cell>
        </row>
        <row r="3163">
          <cell r="A3163" t="str">
            <v>210900</v>
          </cell>
          <cell r="B3163" t="str">
            <v>RECOLOCACAO, REFORMAS E LIMPEZA</v>
          </cell>
        </row>
        <row r="3164">
          <cell r="A3164" t="str">
            <v>210901</v>
          </cell>
          <cell r="B3164" t="str">
            <v>FORRO DE ESTUQUE DE TETOS E BEIRAIS</v>
          </cell>
          <cell r="C3164" t="str">
            <v>M2</v>
          </cell>
          <cell r="D3164">
            <v>54.75</v>
          </cell>
        </row>
        <row r="3165">
          <cell r="A3165" t="str">
            <v>210902</v>
          </cell>
          <cell r="B3165" t="str">
            <v>FORRO DE TABUAS APARELHADAS MACHO E FEMEA DE PINHO</v>
          </cell>
          <cell r="C3165" t="str">
            <v>M2</v>
          </cell>
          <cell r="D3165">
            <v>23.11</v>
          </cell>
        </row>
        <row r="3166">
          <cell r="A3166" t="str">
            <v>210903</v>
          </cell>
          <cell r="B3166" t="str">
            <v>FORRO DE TABUAS APARELHADAS MACHO E FEMEA DE PEROBA</v>
          </cell>
          <cell r="C3166" t="str">
            <v>M2</v>
          </cell>
          <cell r="D3166">
            <v>55.74</v>
          </cell>
        </row>
        <row r="3167">
          <cell r="A3167" t="str">
            <v>210904</v>
          </cell>
          <cell r="B3167" t="str">
            <v>REPREGAMENTO DE FORROS DE MADEIRA</v>
          </cell>
          <cell r="C3167" t="str">
            <v>M2</v>
          </cell>
          <cell r="D3167">
            <v>1.56</v>
          </cell>
        </row>
        <row r="3168">
          <cell r="A3168" t="str">
            <v>210905</v>
          </cell>
          <cell r="B3168" t="str">
            <v>ESTRUTURA DE COBERTURA EM MADEIRA DE LEI EM TESOURA P/TELHAS CERAMICAS - VAOS ATE 7,00 M</v>
          </cell>
          <cell r="C3168" t="str">
            <v>M2</v>
          </cell>
          <cell r="D3168">
            <v>43.17</v>
          </cell>
        </row>
        <row r="3169">
          <cell r="A3169" t="str">
            <v>210906</v>
          </cell>
          <cell r="B3169" t="str">
            <v>ESTRUTURA DE COBERTURA EM MADEIRA DE LEI EM TESOURA P/TELHAS CERAMICAS - VAOS 7,01 A 10,0 M</v>
          </cell>
          <cell r="C3169" t="str">
            <v>M2</v>
          </cell>
          <cell r="D3169">
            <v>48.66</v>
          </cell>
        </row>
        <row r="3170">
          <cell r="A3170" t="str">
            <v>210907</v>
          </cell>
          <cell r="B3170" t="str">
            <v>ESTRUTURA DE COBERTURA EM MADEIRA DE LEI EM TESOURA PONTALETADAS (MISTA) P/TELHAS CERAMICAS</v>
          </cell>
          <cell r="C3170" t="str">
            <v>M2</v>
          </cell>
          <cell r="D3170">
            <v>38.49</v>
          </cell>
        </row>
        <row r="3171">
          <cell r="A3171" t="str">
            <v>210909</v>
          </cell>
          <cell r="B3171" t="str">
            <v>ESTRUTURA COBERTURA EM MADEIRA EM TESOURA PARA TELHAS ONDULADAS - VAOS ATE 7,00 M</v>
          </cell>
          <cell r="C3171" t="str">
            <v>M2</v>
          </cell>
          <cell r="D3171">
            <v>32.58</v>
          </cell>
        </row>
        <row r="3172">
          <cell r="A3172" t="str">
            <v>210912</v>
          </cell>
          <cell r="B3172" t="str">
            <v>RECOLOCACAO DE RIPAS</v>
          </cell>
          <cell r="C3172" t="str">
            <v>M</v>
          </cell>
          <cell r="D3172">
            <v>0.25</v>
          </cell>
        </row>
        <row r="3173">
          <cell r="A3173" t="str">
            <v>210913</v>
          </cell>
          <cell r="B3173" t="str">
            <v>RECOLOCACAO DE CAIBROS</v>
          </cell>
          <cell r="C3173" t="str">
            <v>M</v>
          </cell>
          <cell r="D3173">
            <v>1.96</v>
          </cell>
        </row>
        <row r="3174">
          <cell r="A3174" t="str">
            <v>210914</v>
          </cell>
          <cell r="B3174" t="str">
            <v>RECOLOCACAO DE TELHAS TIPO FRANCESA</v>
          </cell>
          <cell r="C3174" t="str">
            <v>M2</v>
          </cell>
          <cell r="D3174">
            <v>8.93</v>
          </cell>
        </row>
        <row r="3175">
          <cell r="A3175" t="str">
            <v>210915</v>
          </cell>
          <cell r="B3175" t="str">
            <v>RECOLOCACAO DE TELHAS TIPO PAULISTA</v>
          </cell>
          <cell r="C3175" t="str">
            <v>M2</v>
          </cell>
          <cell r="D3175">
            <v>19.41</v>
          </cell>
        </row>
        <row r="3176">
          <cell r="A3176" t="str">
            <v>210916</v>
          </cell>
          <cell r="B3176" t="str">
            <v>RECOLOCACAO DE TELHAS ONDULADAS DE FIBROCIMENTO, ALUMINIO, PLASTICO</v>
          </cell>
          <cell r="C3176" t="str">
            <v>M2</v>
          </cell>
          <cell r="D3176">
            <v>5.57</v>
          </cell>
        </row>
        <row r="3177">
          <cell r="A3177" t="str">
            <v>210917</v>
          </cell>
          <cell r="B3177" t="str">
            <v>LIMPEZA DE PISOS CIMENTADO, CERAMICO, AZULEJOS,PEDRAS, PISO VINILICO, LADRILHO HIDRAULICO</v>
          </cell>
          <cell r="C3177" t="str">
            <v>M2</v>
          </cell>
          <cell r="D3177">
            <v>3.92</v>
          </cell>
        </row>
        <row r="3178">
          <cell r="A3178" t="str">
            <v>210918</v>
          </cell>
          <cell r="B3178" t="str">
            <v>LIMPEZA DE VIDROS</v>
          </cell>
          <cell r="C3178" t="str">
            <v>M2</v>
          </cell>
          <cell r="D3178">
            <v>4.8899999999999997</v>
          </cell>
        </row>
        <row r="3179">
          <cell r="A3179" t="str">
            <v>210919</v>
          </cell>
          <cell r="B3179" t="str">
            <v>LIMPEZA DE APARELHOS SANITARIOS, INCLUSIVE METAIS</v>
          </cell>
          <cell r="C3179" t="str">
            <v>UN</v>
          </cell>
          <cell r="D3179">
            <v>5.21</v>
          </cell>
        </row>
        <row r="3181">
          <cell r="A3181" t="str">
            <v>501000</v>
          </cell>
          <cell r="B3181" t="str">
            <v>CANTEIRO DE OBRAS</v>
          </cell>
        </row>
        <row r="3182">
          <cell r="A3182" t="str">
            <v>501100</v>
          </cell>
          <cell r="B3182" t="str">
            <v>PLACAS, VEICULOS E DESPESAS</v>
          </cell>
        </row>
        <row r="3183">
          <cell r="A3183" t="str">
            <v>501101</v>
          </cell>
          <cell r="B3183" t="str">
            <v>PLACA DE OBRA: FINANCEIRA (4,00 X 2,00) M</v>
          </cell>
          <cell r="C3183" t="str">
            <v>UN</v>
          </cell>
          <cell r="D3183">
            <v>758.57</v>
          </cell>
        </row>
        <row r="3184">
          <cell r="A3184" t="str">
            <v>501102</v>
          </cell>
          <cell r="B3184" t="str">
            <v>PLACA DE OBRA : (4,30 X 2,20) M</v>
          </cell>
          <cell r="C3184" t="str">
            <v>UN</v>
          </cell>
          <cell r="D3184">
            <v>897.01</v>
          </cell>
        </row>
        <row r="3185">
          <cell r="A3185" t="str">
            <v>501103</v>
          </cell>
          <cell r="B3185" t="str">
            <v>PLACA DE OBRA : (2,00 X 1,00) M</v>
          </cell>
          <cell r="C3185" t="str">
            <v>UN</v>
          </cell>
          <cell r="D3185">
            <v>185.66</v>
          </cell>
        </row>
        <row r="3186">
          <cell r="A3186" t="str">
            <v>501104</v>
          </cell>
          <cell r="B3186" t="str">
            <v>VEICULO PARA FISCALIZACAO</v>
          </cell>
          <cell r="C3186" t="str">
            <v>MES</v>
          </cell>
          <cell r="D3186">
            <v>1372.29</v>
          </cell>
        </row>
        <row r="3187">
          <cell r="A3187" t="str">
            <v>501105</v>
          </cell>
          <cell r="B3187" t="str">
            <v>DESPESAS</v>
          </cell>
          <cell r="C3187" t="str">
            <v>MES</v>
          </cell>
          <cell r="D3187">
            <v>1197</v>
          </cell>
        </row>
        <row r="3189">
          <cell r="A3189" t="str">
            <v>501200</v>
          </cell>
          <cell r="B3189" t="str">
            <v>RESERVADO PARA CANTEIRO DE OBRAS (501201 A 501299)</v>
          </cell>
        </row>
        <row r="3191">
          <cell r="A3191" t="str">
            <v>502000</v>
          </cell>
          <cell r="B3191" t="str">
            <v>SERVICOS TECNICOS</v>
          </cell>
        </row>
        <row r="3192">
          <cell r="A3192" t="str">
            <v>502100</v>
          </cell>
          <cell r="B3192" t="str">
            <v>LOCACAO E CADASTRO</v>
          </cell>
        </row>
        <row r="3193">
          <cell r="A3193" t="str">
            <v>502101</v>
          </cell>
          <cell r="B3193" t="str">
            <v>LOCACAO DE OBRAS LOCALIZADAS</v>
          </cell>
          <cell r="C3193" t="str">
            <v>GB</v>
          </cell>
          <cell r="D3193">
            <v>275.64</v>
          </cell>
        </row>
        <row r="3194">
          <cell r="A3194" t="str">
            <v>502102</v>
          </cell>
          <cell r="B3194" t="str">
            <v>CADASTRO DE OBRAS LOCALIZADAS</v>
          </cell>
          <cell r="C3194" t="str">
            <v>GB</v>
          </cell>
          <cell r="D3194">
            <v>352.3</v>
          </cell>
        </row>
        <row r="3196">
          <cell r="A3196" t="str">
            <v>502200</v>
          </cell>
          <cell r="B3196" t="str">
            <v>RESERVADO PARA SERVICOS TECNICOS (502201 A 502299)</v>
          </cell>
        </row>
        <row r="3198">
          <cell r="A3198" t="str">
            <v>503000</v>
          </cell>
          <cell r="B3198" t="str">
            <v>SERVICOS PRELIMINARES</v>
          </cell>
        </row>
        <row r="3199">
          <cell r="A3199" t="str">
            <v>503300</v>
          </cell>
          <cell r="B3199" t="str">
            <v>RESERVADO PARA SERVICOS PRELIMINARES (503301 A 503399)</v>
          </cell>
        </row>
        <row r="3201">
          <cell r="A3201" t="str">
            <v>504000</v>
          </cell>
          <cell r="B3201" t="str">
            <v>MOVIMENTO DE TERRA</v>
          </cell>
        </row>
        <row r="3202">
          <cell r="A3202" t="str">
            <v>504200</v>
          </cell>
          <cell r="B3202" t="str">
            <v>RESERVADO PARA MOVIMENTO DE TERRA (504201 A 504299)</v>
          </cell>
        </row>
        <row r="3204">
          <cell r="A3204" t="str">
            <v>505000</v>
          </cell>
          <cell r="B3204" t="str">
            <v>ESCORAMENTOS</v>
          </cell>
        </row>
        <row r="3205">
          <cell r="A3205" t="str">
            <v>505100</v>
          </cell>
          <cell r="B3205" t="str">
            <v>RESERVADO PARA ESCORAMENTOS (505101 A 505199)</v>
          </cell>
        </row>
        <row r="3207">
          <cell r="A3207" t="str">
            <v>506000</v>
          </cell>
          <cell r="B3207" t="str">
            <v>ESGOTAMENTOS</v>
          </cell>
        </row>
        <row r="3208">
          <cell r="A3208" t="str">
            <v>506100</v>
          </cell>
          <cell r="B3208" t="str">
            <v>REBAIXAMENTO DE LENCOL FREATICO</v>
          </cell>
        </row>
        <row r="3209">
          <cell r="A3209" t="str">
            <v>506101</v>
          </cell>
          <cell r="B3209" t="str">
            <v>MOBILIZACAO, DESMOBILIZACAO E TRANSP. DE EQUIPAMENTOS</v>
          </cell>
          <cell r="C3209" t="str">
            <v>CJXKM</v>
          </cell>
          <cell r="D3209">
            <v>11.3</v>
          </cell>
        </row>
        <row r="3210">
          <cell r="A3210" t="str">
            <v>506102</v>
          </cell>
          <cell r="B3210" t="str">
            <v>INSTALACAO DO SISTEMA DE REBAIXAMENTO</v>
          </cell>
          <cell r="C3210" t="str">
            <v>UN</v>
          </cell>
          <cell r="D3210">
            <v>74.48</v>
          </cell>
        </row>
        <row r="3211">
          <cell r="A3211" t="str">
            <v>506103</v>
          </cell>
          <cell r="B3211" t="str">
            <v>OPERACAO DO SISTEMA DE REBAIXAMENTO</v>
          </cell>
          <cell r="C3211" t="str">
            <v>CJXDI</v>
          </cell>
          <cell r="D3211">
            <v>147.63</v>
          </cell>
        </row>
        <row r="3213">
          <cell r="A3213" t="str">
            <v>506200</v>
          </cell>
          <cell r="B3213" t="str">
            <v>DRENAGEM SUBTERRANEA</v>
          </cell>
        </row>
        <row r="3214">
          <cell r="A3214" t="str">
            <v>506201</v>
          </cell>
          <cell r="B3214" t="str">
            <v>DRENO HORIZONTAL DE AREIA MEDIA</v>
          </cell>
          <cell r="C3214" t="str">
            <v>M2</v>
          </cell>
          <cell r="D3214">
            <v>15.76</v>
          </cell>
        </row>
        <row r="3215">
          <cell r="A3215" t="str">
            <v>506202</v>
          </cell>
          <cell r="B3215" t="str">
            <v>CORTINA FILTRANTE E DRENAGEM</v>
          </cell>
          <cell r="C3215" t="str">
            <v>M</v>
          </cell>
          <cell r="D3215">
            <v>189.29</v>
          </cell>
        </row>
        <row r="3216">
          <cell r="A3216" t="str">
            <v>506203</v>
          </cell>
          <cell r="B3216" t="str">
            <v>DRENAGEM COM TUBO CERAMICO REVESTIDO COM MANTA GEOTEXTIL</v>
          </cell>
          <cell r="C3216" t="str">
            <v>M</v>
          </cell>
          <cell r="D3216">
            <v>121.68</v>
          </cell>
        </row>
        <row r="3218">
          <cell r="A3218" t="str">
            <v>506300</v>
          </cell>
          <cell r="B3218" t="str">
            <v>RESERVADO PARA ESGOTAMENTOS (506301 A 506399)</v>
          </cell>
        </row>
        <row r="3220">
          <cell r="A3220" t="str">
            <v>507000</v>
          </cell>
          <cell r="B3220" t="str">
            <v>OBRAS DE CONTENCAO</v>
          </cell>
        </row>
        <row r="3221">
          <cell r="A3221" t="str">
            <v>507100</v>
          </cell>
          <cell r="B3221" t="str">
            <v>PROTECAO</v>
          </cell>
        </row>
        <row r="3222">
          <cell r="A3222" t="str">
            <v>507102</v>
          </cell>
          <cell r="B3222" t="str">
            <v>SUPORTE DE ATERRO COM MANTA GEOTEXTIL</v>
          </cell>
          <cell r="C3222" t="str">
            <v>M2</v>
          </cell>
          <cell r="D3222">
            <v>39.47</v>
          </cell>
        </row>
        <row r="3223">
          <cell r="A3223" t="str">
            <v>507103</v>
          </cell>
          <cell r="B3223" t="str">
            <v>MURO PRE FABRICADO EM CONCRETO ARMADO</v>
          </cell>
          <cell r="C3223" t="str">
            <v>M2</v>
          </cell>
          <cell r="D3223">
            <v>127.78</v>
          </cell>
        </row>
        <row r="3225">
          <cell r="A3225" t="str">
            <v>507200</v>
          </cell>
          <cell r="B3225" t="str">
            <v>RESERVADO PARA OBRAS DE CONTENCAO (507201 A 507299)</v>
          </cell>
        </row>
        <row r="3227">
          <cell r="A3227" t="str">
            <v>508000</v>
          </cell>
          <cell r="B3227" t="str">
            <v>FUNDACOES E ESTRUTURAS</v>
          </cell>
        </row>
        <row r="3228">
          <cell r="A3228" t="str">
            <v>508100</v>
          </cell>
          <cell r="B3228" t="str">
            <v>BROCA DE CONCRETO/ESTACA</v>
          </cell>
        </row>
        <row r="3229">
          <cell r="A3229" t="str">
            <v>508101</v>
          </cell>
          <cell r="B3229" t="str">
            <v>BROCA DE CONCRETO, DIAMETRO 30 CM</v>
          </cell>
          <cell r="C3229" t="str">
            <v>M</v>
          </cell>
          <cell r="D3229">
            <v>48.5</v>
          </cell>
        </row>
        <row r="3230">
          <cell r="A3230" t="str">
            <v>508103</v>
          </cell>
          <cell r="B3230" t="str">
            <v>MOBILIZACAO DE EQUIPE PARA EXECUCAO DE ESTACA MOLDADA "IN LOCO" - TIPO STRAUSS - ATE 50 KM</v>
          </cell>
          <cell r="C3230" t="str">
            <v>GB</v>
          </cell>
          <cell r="D3230">
            <v>798</v>
          </cell>
        </row>
        <row r="3231">
          <cell r="A3231" t="str">
            <v>508104</v>
          </cell>
          <cell r="B3231" t="str">
            <v>TRANSPORTE ALEM DE 50 KM DE EQUIPE PARA EXECUCAO DE ESTACA MOLDADA "IN LOCO" - TIPO STRAUSS</v>
          </cell>
          <cell r="C3231" t="str">
            <v>KM</v>
          </cell>
          <cell r="D3231">
            <v>5.32</v>
          </cell>
        </row>
        <row r="3232">
          <cell r="A3232" t="str">
            <v>508105</v>
          </cell>
          <cell r="B3232" t="str">
            <v>ESTACA MOLDADA "IN LOCO" - TIPO STRAUSS - CAPACIDADE 20 T.</v>
          </cell>
          <cell r="C3232" t="str">
            <v>M</v>
          </cell>
          <cell r="D3232">
            <v>26.78</v>
          </cell>
        </row>
        <row r="3233">
          <cell r="A3233" t="str">
            <v>508106</v>
          </cell>
          <cell r="B3233" t="str">
            <v>ESTACA MOLDADA "IN LOCO" - TIPO STRAUSS - CAPACIDADE 30 T.</v>
          </cell>
          <cell r="C3233" t="str">
            <v>M</v>
          </cell>
          <cell r="D3233">
            <v>35.93</v>
          </cell>
        </row>
        <row r="3234">
          <cell r="A3234" t="str">
            <v>508107</v>
          </cell>
          <cell r="B3234" t="str">
            <v>ESTACA MOLDADA "IN LOCO" - TIPO STRAUSS - CAPACIDADE 40 T.</v>
          </cell>
          <cell r="C3234" t="str">
            <v>M</v>
          </cell>
          <cell r="D3234">
            <v>48.55</v>
          </cell>
        </row>
        <row r="3236">
          <cell r="A3236" t="str">
            <v>508200</v>
          </cell>
          <cell r="B3236" t="str">
            <v>LASTRO PARA ASSENTAMENTO DE TUBOS E PECAS</v>
          </cell>
        </row>
        <row r="3237">
          <cell r="A3237" t="str">
            <v>508201</v>
          </cell>
          <cell r="B3237" t="str">
            <v>PARA TUBOS E PECAS, DIAM. 75 MM</v>
          </cell>
          <cell r="C3237" t="str">
            <v>M</v>
          </cell>
          <cell r="D3237">
            <v>11.35</v>
          </cell>
        </row>
        <row r="3238">
          <cell r="A3238" t="str">
            <v>508202</v>
          </cell>
          <cell r="B3238" t="str">
            <v>PARA TUBOS E PECAS, DIAMETRO 500 MM</v>
          </cell>
          <cell r="C3238" t="str">
            <v>M</v>
          </cell>
          <cell r="D3238">
            <v>18.64</v>
          </cell>
        </row>
        <row r="3240">
          <cell r="A3240" t="str">
            <v>508300</v>
          </cell>
          <cell r="B3240" t="str">
            <v>LASTRO, LAJE E BERCO PARA ASSENTAMENTO DE TUBOS E PECAS</v>
          </cell>
        </row>
        <row r="3241">
          <cell r="A3241" t="str">
            <v>508301</v>
          </cell>
          <cell r="B3241" t="str">
            <v>PARA TUBOS E PECAS, DIAMETRO 500 MM</v>
          </cell>
          <cell r="C3241" t="str">
            <v>M</v>
          </cell>
          <cell r="D3241">
            <v>94.2</v>
          </cell>
        </row>
        <row r="3242">
          <cell r="A3242" t="str">
            <v>508302</v>
          </cell>
          <cell r="B3242" t="str">
            <v>PARA TUBOS E PECAS, DIAM. 600 MM</v>
          </cell>
          <cell r="C3242" t="str">
            <v>M</v>
          </cell>
          <cell r="D3242">
            <v>114.87</v>
          </cell>
        </row>
        <row r="3243">
          <cell r="A3243" t="str">
            <v>508303</v>
          </cell>
          <cell r="B3243" t="str">
            <v>PARA TUBOS E PECAS, DIAM. 700 MM</v>
          </cell>
          <cell r="C3243" t="str">
            <v>M</v>
          </cell>
          <cell r="D3243">
            <v>128.49</v>
          </cell>
        </row>
        <row r="3245">
          <cell r="A3245" t="str">
            <v>508400</v>
          </cell>
          <cell r="B3245" t="str">
            <v>ANCORAGEM EM CONCRETO PARA PECAS</v>
          </cell>
        </row>
        <row r="3246">
          <cell r="A3246" t="str">
            <v>508401</v>
          </cell>
          <cell r="B3246" t="str">
            <v>ANCORAGEM EM CONCRETO - CURVA 90 GRAUS E TE, DIAM. 500 MM</v>
          </cell>
          <cell r="C3246" t="str">
            <v>UN</v>
          </cell>
          <cell r="D3246">
            <v>211.16</v>
          </cell>
        </row>
        <row r="3247">
          <cell r="A3247" t="str">
            <v>508402</v>
          </cell>
          <cell r="B3247" t="str">
            <v>BRACADEIRA P/FIXACAO DE TUBULACAO DE 350 MM</v>
          </cell>
          <cell r="C3247" t="str">
            <v>UN</v>
          </cell>
          <cell r="D3247">
            <v>12.38</v>
          </cell>
        </row>
        <row r="3249">
          <cell r="A3249" t="str">
            <v>508500</v>
          </cell>
          <cell r="B3249" t="str">
            <v>CONCRETO/FORMA/ACO/LAJE PRE-FABRICADA</v>
          </cell>
        </row>
        <row r="3251">
          <cell r="A3251" t="str">
            <v>508600</v>
          </cell>
          <cell r="B3251" t="str">
            <v>POCO DE VISITA EM ALVENARIA TIPO GARRAFAO</v>
          </cell>
        </row>
        <row r="3252">
          <cell r="A3252" t="str">
            <v>508601</v>
          </cell>
          <cell r="B3252" t="str">
            <v>POCO DE VISITA EM ALVENARIA TIPO GARRAFAO - PROF. ATE 2,00 M</v>
          </cell>
          <cell r="C3252" t="str">
            <v>UN</v>
          </cell>
          <cell r="D3252">
            <v>709.23</v>
          </cell>
        </row>
        <row r="3253">
          <cell r="A3253" t="str">
            <v>508602</v>
          </cell>
          <cell r="B3253" t="str">
            <v>POCO DE VISITA EM ALVENARIA TIPO GARRAFAO - PROF. ATE 3,00 M</v>
          </cell>
          <cell r="C3253" t="str">
            <v>UN</v>
          </cell>
          <cell r="D3253">
            <v>1086.54</v>
          </cell>
        </row>
        <row r="3254">
          <cell r="A3254" t="str">
            <v>508603</v>
          </cell>
          <cell r="B3254" t="str">
            <v>POCO DE VISITA EM ALVENARIA TIPO GARRAFAO - PROF. ATE 4,00 M</v>
          </cell>
          <cell r="C3254" t="str">
            <v>UN</v>
          </cell>
          <cell r="D3254">
            <v>1360.44</v>
          </cell>
        </row>
        <row r="3255">
          <cell r="A3255" t="str">
            <v>508604</v>
          </cell>
          <cell r="B3255" t="str">
            <v>POCO DE VISITA EM ALVENARIA TIPO GARRAFAO - PROF. ATE 5,00 M</v>
          </cell>
          <cell r="C3255" t="str">
            <v>UN</v>
          </cell>
          <cell r="D3255">
            <v>1699.19</v>
          </cell>
        </row>
        <row r="3256">
          <cell r="A3256" t="str">
            <v>508605</v>
          </cell>
          <cell r="B3256" t="str">
            <v>POCO DE VISITA EM ALVENARIA TIPO GARRAFAO - PROF. ATE 6,00 M</v>
          </cell>
          <cell r="C3256" t="str">
            <v>UN</v>
          </cell>
          <cell r="D3256">
            <v>2141.75</v>
          </cell>
        </row>
        <row r="3257">
          <cell r="A3257" t="str">
            <v>508606</v>
          </cell>
          <cell r="B3257" t="str">
            <v>POCO DE VISITA EM ALVENARIA TIPO GARRAFAO - PROF. ATE 7,00 M</v>
          </cell>
          <cell r="C3257" t="str">
            <v>UN</v>
          </cell>
          <cell r="D3257">
            <v>2718.36</v>
          </cell>
        </row>
        <row r="3259">
          <cell r="A3259" t="str">
            <v>508700</v>
          </cell>
          <cell r="B3259" t="str">
            <v>DISPOSITIVOS PARA LAGOA</v>
          </cell>
        </row>
        <row r="3260">
          <cell r="A3260" t="str">
            <v>508701</v>
          </cell>
          <cell r="B3260" t="str">
            <v>DISPOSITIVO DE ENTRADA B</v>
          </cell>
          <cell r="C3260" t="str">
            <v>UN</v>
          </cell>
          <cell r="D3260">
            <v>605.92999999999995</v>
          </cell>
        </row>
        <row r="3261">
          <cell r="A3261" t="str">
            <v>508702</v>
          </cell>
          <cell r="B3261" t="str">
            <v>DISPOSITIVO DE ENTRADA D</v>
          </cell>
          <cell r="C3261" t="str">
            <v>UN</v>
          </cell>
          <cell r="D3261">
            <v>818.77</v>
          </cell>
        </row>
        <row r="3262">
          <cell r="A3262" t="str">
            <v>508703</v>
          </cell>
          <cell r="B3262" t="str">
            <v>DISPOSITIVO DE SAIDA B</v>
          </cell>
          <cell r="C3262" t="str">
            <v>UN</v>
          </cell>
          <cell r="D3262">
            <v>1222.72</v>
          </cell>
        </row>
        <row r="3263">
          <cell r="A3263" t="str">
            <v>508704</v>
          </cell>
          <cell r="B3263" t="str">
            <v>DISPOSITIVO DE SAIDA F</v>
          </cell>
          <cell r="C3263" t="str">
            <v>UN</v>
          </cell>
          <cell r="D3263">
            <v>7553.12</v>
          </cell>
        </row>
        <row r="3264">
          <cell r="A3264" t="str">
            <v>508705</v>
          </cell>
          <cell r="B3264" t="str">
            <v>DISPOSITIVO DE INTERLIGACAO B</v>
          </cell>
          <cell r="C3264" t="str">
            <v>UN</v>
          </cell>
          <cell r="D3264">
            <v>1250.6500000000001</v>
          </cell>
        </row>
        <row r="3265">
          <cell r="A3265" t="str">
            <v>508708</v>
          </cell>
          <cell r="B3265" t="str">
            <v>CAIXA DE AREIA, GRADEAMENTO E MEDICAO DE VAZAO (SUTRO)</v>
          </cell>
          <cell r="C3265" t="str">
            <v>UN</v>
          </cell>
          <cell r="D3265">
            <v>4910.6499999999996</v>
          </cell>
        </row>
        <row r="3266">
          <cell r="A3266" t="str">
            <v>508709</v>
          </cell>
          <cell r="B3266" t="str">
            <v>CAIXA DIVISORA DE VAZAO - DUAS SAIDAS</v>
          </cell>
          <cell r="C3266" t="str">
            <v>UN</v>
          </cell>
          <cell r="D3266">
            <v>1051.1199999999999</v>
          </cell>
        </row>
        <row r="3267">
          <cell r="A3267" t="str">
            <v>508711</v>
          </cell>
          <cell r="B3267" t="str">
            <v>DISPOSITIVO DE ENTRADA C</v>
          </cell>
          <cell r="C3267" t="str">
            <v>UN</v>
          </cell>
          <cell r="D3267">
            <v>1195.1500000000001</v>
          </cell>
        </row>
        <row r="3268">
          <cell r="A3268" t="str">
            <v>508712</v>
          </cell>
          <cell r="B3268" t="str">
            <v>PLACA DE CONCRETO - PADRAO I</v>
          </cell>
          <cell r="C3268" t="str">
            <v>M2</v>
          </cell>
          <cell r="D3268">
            <v>45.49</v>
          </cell>
        </row>
        <row r="3269">
          <cell r="A3269" t="str">
            <v>508713</v>
          </cell>
          <cell r="B3269" t="str">
            <v>DISPOSITIVO DE SAIDA A - COMPLETO</v>
          </cell>
          <cell r="C3269" t="str">
            <v>UN</v>
          </cell>
          <cell r="D3269">
            <v>5186.09</v>
          </cell>
        </row>
        <row r="3271">
          <cell r="A3271" t="str">
            <v>508800</v>
          </cell>
          <cell r="B3271" t="str">
            <v>RESERVADO PARA FUNDACOES E ESTRUTURAS (508801 A 508899)</v>
          </cell>
        </row>
        <row r="3273">
          <cell r="A3273" t="str">
            <v>509000</v>
          </cell>
          <cell r="B3273" t="str">
            <v>ASSENTAMENTO</v>
          </cell>
        </row>
        <row r="3274">
          <cell r="A3274" t="str">
            <v>509100</v>
          </cell>
          <cell r="B3274" t="str">
            <v>ASSENTAMENTO DE TUBOS E PECAS PARA REDES DE DISTR. DE AGUA</v>
          </cell>
        </row>
        <row r="3275">
          <cell r="A3275" t="str">
            <v>509101</v>
          </cell>
          <cell r="B3275" t="str">
            <v>TUBOS E PECAS DE FERRO FUNDIDO, DIAM. 350 MM</v>
          </cell>
          <cell r="C3275" t="str">
            <v>M</v>
          </cell>
          <cell r="D3275">
            <v>14.24</v>
          </cell>
        </row>
        <row r="3276">
          <cell r="A3276" t="str">
            <v>509102</v>
          </cell>
          <cell r="B3276" t="str">
            <v>TUBOS E PECAS PEAD, DIAM. 32 MM</v>
          </cell>
          <cell r="C3276" t="str">
            <v>M</v>
          </cell>
          <cell r="D3276">
            <v>3.79</v>
          </cell>
        </row>
        <row r="3278">
          <cell r="A3278" t="str">
            <v>509200</v>
          </cell>
          <cell r="B3278" t="str">
            <v>ASSENTAMENTO SIMPLES DE TUBOS E PECAS DE PVC RIGIDO E PVC RIGIDO DEFOFO</v>
          </cell>
        </row>
        <row r="3279">
          <cell r="A3279" t="str">
            <v>509201</v>
          </cell>
          <cell r="B3279" t="str">
            <v>TUBOS E PECAS, DIAM. 250 MM</v>
          </cell>
          <cell r="C3279" t="str">
            <v>M</v>
          </cell>
          <cell r="D3279">
            <v>1.82</v>
          </cell>
        </row>
        <row r="3280">
          <cell r="A3280" t="str">
            <v>509202</v>
          </cell>
          <cell r="B3280" t="str">
            <v>TUBOS E PECAS, DIAM. 350 MM</v>
          </cell>
          <cell r="C3280" t="str">
            <v>M</v>
          </cell>
          <cell r="D3280">
            <v>2.56</v>
          </cell>
        </row>
        <row r="3281">
          <cell r="A3281" t="str">
            <v>509203</v>
          </cell>
          <cell r="B3281" t="str">
            <v>TUBOS E PECAS, DIAM. 450 MM</v>
          </cell>
          <cell r="C3281" t="str">
            <v>M</v>
          </cell>
          <cell r="D3281">
            <v>3.59</v>
          </cell>
        </row>
        <row r="3283">
          <cell r="A3283" t="str">
            <v>509300</v>
          </cell>
          <cell r="B3283" t="str">
            <v>ASSENTAMENTO SIMPLES DE TUBOS E PECAS DE CIMENTO AMIANTO</v>
          </cell>
        </row>
        <row r="3285">
          <cell r="A3285" t="str">
            <v>509400</v>
          </cell>
          <cell r="B3285" t="str">
            <v>ASSENTAMENTO SIMPLES DE TUBOS E PECAS DE FERRO FUNDIDO</v>
          </cell>
        </row>
        <row r="3286">
          <cell r="A3286" t="str">
            <v>509401</v>
          </cell>
          <cell r="B3286" t="str">
            <v>TUBOS E PECAS, DIAM. 350 MM</v>
          </cell>
          <cell r="C3286" t="str">
            <v>M</v>
          </cell>
          <cell r="D3286">
            <v>7.78</v>
          </cell>
        </row>
        <row r="3288">
          <cell r="A3288" t="str">
            <v>509500</v>
          </cell>
          <cell r="B3288" t="str">
            <v>ASSENTAMENTO SIMPLES DE TUBOS DE CONCRETO PARA AGUAS PLUVIAIS</v>
          </cell>
        </row>
        <row r="3289">
          <cell r="A3289" t="str">
            <v>509501</v>
          </cell>
          <cell r="B3289" t="str">
            <v>TUBOS, DIAMETRO 200 MM</v>
          </cell>
          <cell r="C3289" t="str">
            <v>M</v>
          </cell>
          <cell r="D3289">
            <v>2.84</v>
          </cell>
        </row>
        <row r="3291">
          <cell r="A3291" t="str">
            <v>509600</v>
          </cell>
          <cell r="B3291" t="str">
            <v>MONTAGEM DE PECAS ESPECIAIS</v>
          </cell>
        </row>
        <row r="3292">
          <cell r="A3292" t="str">
            <v>509601</v>
          </cell>
          <cell r="B3292" t="str">
            <v>PECAS ESPECIAIS E TUBULACOES AEREAS</v>
          </cell>
          <cell r="C3292" t="str">
            <v>KG</v>
          </cell>
          <cell r="D3292">
            <v>1.1299999999999999</v>
          </cell>
        </row>
        <row r="3294">
          <cell r="A3294" t="str">
            <v>509700</v>
          </cell>
          <cell r="B3294" t="str">
            <v>CARGA, TRANSPORTE ATE 10 KM E DESCARGA DE TUBOS E PECAS DE PVC RIGIDO E PVC RIGIDO DEFOFO</v>
          </cell>
        </row>
        <row r="3295">
          <cell r="A3295" t="str">
            <v>509701</v>
          </cell>
          <cell r="B3295" t="str">
            <v>TUBOS E PECAS, DIAM. 450 MM</v>
          </cell>
          <cell r="C3295" t="str">
            <v>KM</v>
          </cell>
          <cell r="D3295">
            <v>671.7</v>
          </cell>
        </row>
        <row r="3297">
          <cell r="A3297" t="str">
            <v>509800</v>
          </cell>
          <cell r="B3297" t="str">
            <v>TRANSPORTE EXCEDENTE A 10 KM DE TUBOS E PECAS DE PVC RIGIDO E PVC RIGIDO DE FOFO</v>
          </cell>
        </row>
        <row r="3298">
          <cell r="A3298" t="str">
            <v>509810</v>
          </cell>
          <cell r="B3298" t="str">
            <v>TUBOS E PECAS, DIAM. 450 MM</v>
          </cell>
          <cell r="C3298" t="str">
            <v>KMXKM</v>
          </cell>
          <cell r="D3298">
            <v>7.92</v>
          </cell>
        </row>
        <row r="3300">
          <cell r="A3300" t="str">
            <v>510300</v>
          </cell>
          <cell r="B3300" t="str">
            <v>RESERVADO PARA ASSENTAMENTO (510301 A 510399)</v>
          </cell>
        </row>
        <row r="3301">
          <cell r="A3301" t="str">
            <v>510301</v>
          </cell>
          <cell r="B3301" t="str">
            <v>TUBOS E PECAS PVC, DIAM. 25 MM (3/4")</v>
          </cell>
          <cell r="C3301" t="str">
            <v>M</v>
          </cell>
          <cell r="D3301">
            <v>3.79</v>
          </cell>
        </row>
        <row r="3303">
          <cell r="A3303" t="str">
            <v>511000</v>
          </cell>
          <cell r="B3303" t="str">
            <v>PAVIMENTACAO</v>
          </cell>
        </row>
        <row r="3304">
          <cell r="A3304" t="str">
            <v>511100</v>
          </cell>
          <cell r="B3304" t="str">
            <v>LEVANTAMENTO DE PAVIMENTACAO</v>
          </cell>
        </row>
        <row r="3305">
          <cell r="A3305" t="str">
            <v>511101</v>
          </cell>
          <cell r="B3305" t="str">
            <v>LEVANTAMENTO DE PASSEIO EM CACO CERAMICO</v>
          </cell>
          <cell r="C3305" t="str">
            <v>M2</v>
          </cell>
          <cell r="D3305">
            <v>5.77</v>
          </cell>
        </row>
        <row r="3306">
          <cell r="A3306" t="str">
            <v>511102</v>
          </cell>
          <cell r="B3306" t="str">
            <v>LEVANTAMENTO DE PASSEIO EM ARDOSIA, ARENITO OU PEDRA LUMINARIA</v>
          </cell>
          <cell r="C3306" t="str">
            <v>M2</v>
          </cell>
          <cell r="D3306">
            <v>6.45</v>
          </cell>
        </row>
        <row r="3307">
          <cell r="A3307" t="str">
            <v>511103</v>
          </cell>
          <cell r="B3307" t="str">
            <v>LEVANTAMENTO DE PASSEIO EM GRANITO TIPO PARALELEPIPEDO</v>
          </cell>
          <cell r="C3307" t="str">
            <v>M2</v>
          </cell>
          <cell r="D3307">
            <v>6.45</v>
          </cell>
        </row>
        <row r="3308">
          <cell r="A3308" t="str">
            <v>511104</v>
          </cell>
          <cell r="B3308" t="str">
            <v>LEVANTAMENTO DE PASSEIO EM LAJOTAO COLONIAL CERAMICO</v>
          </cell>
          <cell r="C3308" t="str">
            <v>M2</v>
          </cell>
          <cell r="D3308">
            <v>6.45</v>
          </cell>
        </row>
        <row r="3309">
          <cell r="A3309" t="str">
            <v>511105</v>
          </cell>
          <cell r="B3309" t="str">
            <v>LEVANTAMENTO DE PAVIMENTACAO DE CONCRETO NAO ESTRUTURAL</v>
          </cell>
          <cell r="C3309" t="str">
            <v>M2</v>
          </cell>
          <cell r="D3309">
            <v>9.23</v>
          </cell>
        </row>
        <row r="3310">
          <cell r="A3310" t="str">
            <v>511106</v>
          </cell>
          <cell r="B3310" t="str">
            <v>LEVANTAMENTO DE PARALELEPIPEDO COM CAPA ASFALTICA</v>
          </cell>
          <cell r="C3310" t="str">
            <v>M2</v>
          </cell>
          <cell r="D3310">
            <v>7.66</v>
          </cell>
        </row>
        <row r="3312">
          <cell r="A3312" t="str">
            <v>511200</v>
          </cell>
          <cell r="B3312" t="str">
            <v>EXECUCAO DE PAVIMENTACAO</v>
          </cell>
        </row>
        <row r="3313">
          <cell r="A3313" t="str">
            <v>511211</v>
          </cell>
          <cell r="B3313" t="str">
            <v>EXECUCAO DE ASFALTO</v>
          </cell>
          <cell r="C3313" t="str">
            <v>M2</v>
          </cell>
          <cell r="D3313">
            <v>29.64</v>
          </cell>
        </row>
        <row r="3314">
          <cell r="A3314" t="str">
            <v>511212</v>
          </cell>
          <cell r="B3314" t="str">
            <v>EXECUCAO DE PAVIMENTACAO DE CONCRETO NAO ESTRUTURAL</v>
          </cell>
          <cell r="C3314" t="str">
            <v>M2</v>
          </cell>
          <cell r="D3314">
            <v>31.33</v>
          </cell>
        </row>
        <row r="3315">
          <cell r="A3315" t="str">
            <v>511213</v>
          </cell>
          <cell r="B3315" t="str">
            <v>REPOSICAO DE PARALELEPIPEDO COM CAPA ASFALTICA</v>
          </cell>
          <cell r="C3315" t="str">
            <v>M2</v>
          </cell>
          <cell r="D3315">
            <v>43.15</v>
          </cell>
        </row>
        <row r="3317">
          <cell r="A3317" t="str">
            <v>511300</v>
          </cell>
          <cell r="B3317" t="str">
            <v>RESERVADO PARA PAVIMENTACAO (511301 A 511399)</v>
          </cell>
        </row>
        <row r="3319">
          <cell r="A3319" t="str">
            <v>512000</v>
          </cell>
          <cell r="B3319" t="str">
            <v>LIGACOES PREDIAIS</v>
          </cell>
        </row>
        <row r="3320">
          <cell r="A3320" t="str">
            <v>512100</v>
          </cell>
          <cell r="B3320" t="str">
            <v>RESERVADO PARA LIGACOES PREDIAIS (512101 A 512199)</v>
          </cell>
        </row>
        <row r="3322">
          <cell r="A3322" t="str">
            <v>512200</v>
          </cell>
          <cell r="B3322" t="str">
            <v>LIGACOES</v>
          </cell>
        </row>
        <row r="3323">
          <cell r="A3323">
            <v>512300</v>
          </cell>
          <cell r="B3323" t="str">
            <v>RESERVADO PARA LIGACOES (512301 A 512399)</v>
          </cell>
        </row>
        <row r="3325">
          <cell r="A3325" t="str">
            <v>513000</v>
          </cell>
          <cell r="B3325" t="str">
            <v>FECHAMENTO</v>
          </cell>
        </row>
        <row r="3326">
          <cell r="A3326" t="str">
            <v>513100</v>
          </cell>
          <cell r="B3326" t="str">
            <v>ALVENARIA</v>
          </cell>
        </row>
        <row r="3327">
          <cell r="A3327" t="str">
            <v>513101</v>
          </cell>
          <cell r="B3327" t="str">
            <v>ALVENARIA DE ELEV., EM CUTELO TIJOLO A VISTA</v>
          </cell>
          <cell r="C3327" t="str">
            <v>M2</v>
          </cell>
          <cell r="D3327">
            <v>34.43</v>
          </cell>
        </row>
        <row r="3328">
          <cell r="A3328" t="str">
            <v>513102</v>
          </cell>
          <cell r="B3328" t="str">
            <v>COLOCACAO DE TIJOLO COMUM NO LEITO DE SECAGEM</v>
          </cell>
          <cell r="C3328" t="str">
            <v>M2</v>
          </cell>
          <cell r="D3328">
            <v>5.87</v>
          </cell>
        </row>
        <row r="3329">
          <cell r="A3329" t="str">
            <v>513103</v>
          </cell>
          <cell r="B3329" t="str">
            <v>BLOCO DE VIDRO, DIMENSAO 6 X 20 X 20 CM (ELEMENTO VAZADO)</v>
          </cell>
          <cell r="C3329" t="str">
            <v>M2</v>
          </cell>
          <cell r="D3329">
            <v>406.19</v>
          </cell>
        </row>
        <row r="3331">
          <cell r="A3331" t="str">
            <v>513200</v>
          </cell>
          <cell r="B3331" t="str">
            <v>COBERTURA, MADEIRAMENTO, CONDUTOR, CALHAS E RUFOS</v>
          </cell>
        </row>
        <row r="3332">
          <cell r="A3332" t="str">
            <v>513201</v>
          </cell>
          <cell r="B3332" t="str">
            <v>COBERTURA COM TELHA COLONIAL</v>
          </cell>
          <cell r="C3332" t="str">
            <v>M2</v>
          </cell>
          <cell r="D3332">
            <v>55.51</v>
          </cell>
        </row>
        <row r="3334">
          <cell r="A3334" t="str">
            <v>513300</v>
          </cell>
          <cell r="B3334" t="str">
            <v>ESQUADRIAS: MADEIRA/METALICAS E FERRAGENS</v>
          </cell>
        </row>
        <row r="3335">
          <cell r="A3335" t="str">
            <v>513301</v>
          </cell>
          <cell r="B3335" t="str">
            <v>PORTA EXTERNA DE CEDRO, EXCETO O BATENTE, 1 FOLHA</v>
          </cell>
          <cell r="C3335" t="str">
            <v>M2</v>
          </cell>
          <cell r="D3335">
            <v>88.45</v>
          </cell>
        </row>
        <row r="3336">
          <cell r="A3336" t="str">
            <v>513302</v>
          </cell>
          <cell r="B3336" t="str">
            <v>PORTA INTERNA DE CEDRO, EXCETO O BATENTE, 1 FOLHA</v>
          </cell>
          <cell r="C3336" t="str">
            <v>M2</v>
          </cell>
          <cell r="D3336">
            <v>132.84</v>
          </cell>
        </row>
        <row r="3337">
          <cell r="A3337" t="str">
            <v>513303</v>
          </cell>
          <cell r="B3337" t="str">
            <v>BATENTE PEROBA</v>
          </cell>
          <cell r="C3337" t="str">
            <v>M</v>
          </cell>
          <cell r="D3337">
            <v>19.61</v>
          </cell>
        </row>
        <row r="3338">
          <cell r="A3338" t="str">
            <v>513304</v>
          </cell>
          <cell r="B3338" t="str">
            <v>PORTA DE ALUMINIO TIPO VENEZIANA</v>
          </cell>
          <cell r="C3338" t="str">
            <v>M2</v>
          </cell>
          <cell r="D3338">
            <v>667.67</v>
          </cell>
        </row>
        <row r="3340">
          <cell r="A3340" t="str">
            <v>513400</v>
          </cell>
          <cell r="B3340" t="str">
            <v>VIDROS</v>
          </cell>
        </row>
        <row r="3341">
          <cell r="A3341" t="str">
            <v>513401</v>
          </cell>
          <cell r="B3341" t="str">
            <v>VIDRO PLANO COMUM TRANSPARENTE 6 MM</v>
          </cell>
          <cell r="C3341" t="str">
            <v>M2</v>
          </cell>
          <cell r="D3341">
            <v>113.48</v>
          </cell>
        </row>
        <row r="3343">
          <cell r="A3343" t="str">
            <v>513500</v>
          </cell>
          <cell r="B3343" t="str">
            <v>GRELHAS/GUARDA-CORPO/GRADE/ESCADA</v>
          </cell>
        </row>
        <row r="3344">
          <cell r="A3344" t="str">
            <v>513501</v>
          </cell>
          <cell r="B3344" t="str">
            <v>GUARDA CORPO DIAMETRO 2"</v>
          </cell>
          <cell r="C3344" t="str">
            <v>M</v>
          </cell>
          <cell r="D3344">
            <v>119.8</v>
          </cell>
        </row>
        <row r="3345">
          <cell r="A3345" t="str">
            <v>513502</v>
          </cell>
          <cell r="B3345" t="str">
            <v>GRADE METALICA BARRA 2 X 3/8 POL. - ESPACAMENTO 5 CM</v>
          </cell>
          <cell r="C3345" t="str">
            <v>UN</v>
          </cell>
          <cell r="D3345">
            <v>337.58</v>
          </cell>
        </row>
        <row r="3346">
          <cell r="A3346" t="str">
            <v>513503</v>
          </cell>
          <cell r="B3346" t="str">
            <v>GRADE DIAM. 1/2 POL. E= 20 MM</v>
          </cell>
          <cell r="C3346" t="str">
            <v>M2</v>
          </cell>
          <cell r="D3346">
            <v>453.91</v>
          </cell>
        </row>
        <row r="3347">
          <cell r="A3347" t="str">
            <v>513504</v>
          </cell>
          <cell r="B3347" t="str">
            <v>GRELHA DIAM. 1/2 POL. (50 X 50) MM</v>
          </cell>
          <cell r="C3347" t="str">
            <v>UN</v>
          </cell>
          <cell r="D3347">
            <v>201.58</v>
          </cell>
        </row>
        <row r="3348">
          <cell r="A3348" t="str">
            <v>513505</v>
          </cell>
          <cell r="B3348" t="str">
            <v>ESCADA EM DURALUMINIO COM GUARDA CORPO</v>
          </cell>
          <cell r="C3348" t="str">
            <v>M</v>
          </cell>
          <cell r="D3348">
            <v>297.81</v>
          </cell>
        </row>
        <row r="3349">
          <cell r="A3349" t="str">
            <v>513506</v>
          </cell>
          <cell r="B3349" t="str">
            <v>GUARDA CORPO DIAM. 1" C/ RODAPE EM CHAPA GALVANIZADA</v>
          </cell>
          <cell r="C3349" t="str">
            <v>M</v>
          </cell>
          <cell r="D3349">
            <v>76.12</v>
          </cell>
        </row>
        <row r="3351">
          <cell r="A3351" t="str">
            <v>513600</v>
          </cell>
          <cell r="B3351" t="str">
            <v>TAMPA DE INSPECAO METALICA</v>
          </cell>
        </row>
        <row r="3352">
          <cell r="A3352" t="str">
            <v>513601</v>
          </cell>
          <cell r="B3352" t="str">
            <v>TAMPA DE INSPECAO METALICA</v>
          </cell>
          <cell r="C3352" t="str">
            <v>M2</v>
          </cell>
          <cell r="D3352">
            <v>261.54000000000002</v>
          </cell>
        </row>
        <row r="3354">
          <cell r="A3354" t="str">
            <v>513700</v>
          </cell>
          <cell r="B3354" t="str">
            <v>RESERVADO PARA FECHAMENTO (513701 A 513799)</v>
          </cell>
        </row>
        <row r="3356">
          <cell r="A3356" t="str">
            <v>514000</v>
          </cell>
          <cell r="B3356" t="str">
            <v>REVESTIMENTO E TRATAMENTO DE SUPERFICIE</v>
          </cell>
        </row>
        <row r="3357">
          <cell r="A3357" t="str">
            <v>514100</v>
          </cell>
          <cell r="B3357" t="str">
            <v>PISO, TETOS E PAREDES</v>
          </cell>
        </row>
        <row r="3358">
          <cell r="A3358" t="str">
            <v>514101</v>
          </cell>
          <cell r="B3358" t="str">
            <v>PISO EM GRANILITE</v>
          </cell>
          <cell r="C3358" t="str">
            <v>M2</v>
          </cell>
          <cell r="D3358">
            <v>39.46</v>
          </cell>
        </row>
        <row r="3360">
          <cell r="A3360" t="str">
            <v>514200</v>
          </cell>
          <cell r="B3360" t="str">
            <v>PINTURAS/IMPERMEABILIZACAO</v>
          </cell>
        </row>
        <row r="3361">
          <cell r="A3361" t="str">
            <v>514201</v>
          </cell>
          <cell r="B3361" t="str">
            <v>PINTURA PISO COM GRAFITE</v>
          </cell>
          <cell r="C3361" t="str">
            <v>M2</v>
          </cell>
          <cell r="D3361">
            <v>14.69</v>
          </cell>
        </row>
        <row r="3362">
          <cell r="A3362" t="str">
            <v>514202</v>
          </cell>
          <cell r="B3362" t="str">
            <v>APLICACAO DE SODA CAUSTICA - SOLO</v>
          </cell>
          <cell r="C3362" t="str">
            <v>M2</v>
          </cell>
          <cell r="D3362">
            <v>0.09</v>
          </cell>
        </row>
        <row r="3364">
          <cell r="A3364" t="str">
            <v>514300</v>
          </cell>
          <cell r="B3364" t="str">
            <v>RESERVADO PARA REVESTIMENTO E TRATAMENTO DE SUPERFICIE (514301 A 514399)</v>
          </cell>
        </row>
        <row r="3366">
          <cell r="A3366" t="str">
            <v>515000</v>
          </cell>
          <cell r="B3366" t="str">
            <v>INSTALACOES PREDIAIS</v>
          </cell>
        </row>
        <row r="3367">
          <cell r="A3367" t="str">
            <v>515100</v>
          </cell>
          <cell r="B3367" t="str">
            <v>PECAS E APARELHOS ELETRICOS</v>
          </cell>
        </row>
        <row r="3368">
          <cell r="A3368" t="str">
            <v>515101</v>
          </cell>
          <cell r="B3368" t="str">
            <v>CABO DE COBRE NU 6,0 MM2</v>
          </cell>
          <cell r="C3368" t="str">
            <v>M</v>
          </cell>
          <cell r="D3368">
            <v>4.53</v>
          </cell>
        </row>
        <row r="3369">
          <cell r="A3369" t="str">
            <v>515102</v>
          </cell>
          <cell r="B3369" t="str">
            <v>CABO DE COBRE NU 16 MM2</v>
          </cell>
          <cell r="C3369" t="str">
            <v>M</v>
          </cell>
          <cell r="D3369">
            <v>5.08</v>
          </cell>
        </row>
        <row r="3370">
          <cell r="A3370" t="str">
            <v>515103</v>
          </cell>
          <cell r="B3370" t="str">
            <v>CABO DE COBRE NU 25 MM2</v>
          </cell>
          <cell r="C3370" t="str">
            <v>M</v>
          </cell>
          <cell r="D3370">
            <v>6.57</v>
          </cell>
        </row>
        <row r="3371">
          <cell r="A3371" t="str">
            <v>515104</v>
          </cell>
          <cell r="B3371" t="str">
            <v>CONECTOR TIPO SPLIT BOLT PARA CABO 16 MM2</v>
          </cell>
          <cell r="C3371" t="str">
            <v>UN</v>
          </cell>
          <cell r="D3371">
            <v>7.4</v>
          </cell>
        </row>
        <row r="3372">
          <cell r="A3372" t="str">
            <v>515105</v>
          </cell>
          <cell r="B3372" t="str">
            <v>POSTE DE CONCRETO : H = 7,00 M  P = 300 KG</v>
          </cell>
          <cell r="C3372" t="str">
            <v>UN</v>
          </cell>
          <cell r="D3372">
            <v>469.3</v>
          </cell>
        </row>
        <row r="3374">
          <cell r="A3374" t="str">
            <v>515200</v>
          </cell>
          <cell r="B3374" t="str">
            <v>ENVELOPAMENTO DE ELETRODUTO</v>
          </cell>
        </row>
        <row r="3375">
          <cell r="A3375" t="str">
            <v>515201</v>
          </cell>
          <cell r="B3375" t="str">
            <v>ENVELOPAMENTO DE ELETRODUTO PVC 1 DIAM. 3/4"</v>
          </cell>
          <cell r="C3375" t="str">
            <v>M</v>
          </cell>
          <cell r="D3375">
            <v>18.16</v>
          </cell>
        </row>
        <row r="3376">
          <cell r="A3376" t="str">
            <v>515202</v>
          </cell>
          <cell r="B3376" t="str">
            <v>ENVELOPAMENTO DE ELETRODUTO PVC 1 DIAM. 1"</v>
          </cell>
          <cell r="C3376" t="str">
            <v>M</v>
          </cell>
          <cell r="D3376">
            <v>22.1</v>
          </cell>
        </row>
        <row r="3377">
          <cell r="A3377" t="str">
            <v>515203</v>
          </cell>
          <cell r="B3377" t="str">
            <v>ENVELOPAMENTO DE ELETRODUTO PVC 1 DIAM. 1 1/4"</v>
          </cell>
          <cell r="C3377" t="str">
            <v>M</v>
          </cell>
          <cell r="D3377">
            <v>24.8</v>
          </cell>
        </row>
        <row r="3378">
          <cell r="A3378" t="str">
            <v>515204</v>
          </cell>
          <cell r="B3378" t="str">
            <v>ENVELOPAMENTO DE ELETRODUTO PVC 1 DIAM. 1 1/2"</v>
          </cell>
          <cell r="C3378" t="str">
            <v>M</v>
          </cell>
          <cell r="D3378">
            <v>27.02</v>
          </cell>
        </row>
        <row r="3379">
          <cell r="A3379" t="str">
            <v>515205</v>
          </cell>
          <cell r="B3379" t="str">
            <v>ENVELOPAMENTO DE ELETRODUTO PVC 1 DIAM. 2"</v>
          </cell>
          <cell r="C3379" t="str">
            <v>M</v>
          </cell>
          <cell r="D3379">
            <v>32.46</v>
          </cell>
        </row>
        <row r="3380">
          <cell r="A3380" t="str">
            <v>515206</v>
          </cell>
          <cell r="B3380" t="str">
            <v>ENVELOPAMENTO DE ELETRODUTOS PVC 1 DIAM. 2 1/2"</v>
          </cell>
          <cell r="C3380" t="str">
            <v>M</v>
          </cell>
          <cell r="D3380">
            <v>43.63</v>
          </cell>
        </row>
        <row r="3381">
          <cell r="A3381" t="str">
            <v>515207</v>
          </cell>
          <cell r="B3381" t="str">
            <v>ENVELOPAMENTO DE ELETRODUTOS PVC 1 DIAM. 3"</v>
          </cell>
          <cell r="C3381" t="str">
            <v>M</v>
          </cell>
          <cell r="D3381">
            <v>50.15</v>
          </cell>
        </row>
        <row r="3382">
          <cell r="A3382" t="str">
            <v>515208</v>
          </cell>
          <cell r="B3382" t="str">
            <v>ENVELOPAMENTO DE ELETRODUTOS PVC 1 DIAM. 4"</v>
          </cell>
          <cell r="C3382" t="str">
            <v>M</v>
          </cell>
          <cell r="D3382">
            <v>64.900000000000006</v>
          </cell>
        </row>
        <row r="3383">
          <cell r="A3383" t="str">
            <v>515209</v>
          </cell>
          <cell r="B3383" t="str">
            <v>ENVELOPAMENTO DE ELETRODUTOS PVC 2 DIAM. 3/4"</v>
          </cell>
          <cell r="C3383" t="str">
            <v>M</v>
          </cell>
          <cell r="D3383">
            <v>29.63</v>
          </cell>
        </row>
        <row r="3384">
          <cell r="A3384" t="str">
            <v>515210</v>
          </cell>
          <cell r="B3384" t="str">
            <v>ENVELOPAMENTO DE ELETRODUTOS PVC 2 DIAM. 1"</v>
          </cell>
          <cell r="C3384" t="str">
            <v>M</v>
          </cell>
          <cell r="D3384">
            <v>37.299999999999997</v>
          </cell>
        </row>
        <row r="3385">
          <cell r="A3385" t="str">
            <v>515211</v>
          </cell>
          <cell r="B3385" t="str">
            <v>ENVELOPAMENTO DE ELETRODUTOS PVC 2 DIAM. 1 1/4"</v>
          </cell>
          <cell r="C3385" t="str">
            <v>M</v>
          </cell>
          <cell r="D3385">
            <v>42.56</v>
          </cell>
        </row>
        <row r="3386">
          <cell r="A3386" t="str">
            <v>515212</v>
          </cell>
          <cell r="B3386" t="str">
            <v>ENVELOPAMENTO DE ELETRODUTOS PVC 2, DIAM. 1 1/2"</v>
          </cell>
          <cell r="C3386" t="str">
            <v>M</v>
          </cell>
          <cell r="D3386">
            <v>49.6</v>
          </cell>
        </row>
        <row r="3387">
          <cell r="A3387" t="str">
            <v>515213</v>
          </cell>
          <cell r="B3387" t="str">
            <v>ENVELOPAMENTO DE ELETRODUTOS PVC 2 DIAM. 2"</v>
          </cell>
          <cell r="C3387" t="str">
            <v>M</v>
          </cell>
          <cell r="D3387">
            <v>57.17</v>
          </cell>
        </row>
        <row r="3388">
          <cell r="A3388" t="str">
            <v>515214</v>
          </cell>
          <cell r="B3388" t="str">
            <v>ENVELOPAMENTO DE ELETRODUTOS PVC 2 DIAM. 2 1/2"</v>
          </cell>
          <cell r="C3388" t="str">
            <v>M</v>
          </cell>
          <cell r="D3388">
            <v>80.569999999999993</v>
          </cell>
        </row>
        <row r="3389">
          <cell r="A3389" t="str">
            <v>515215</v>
          </cell>
          <cell r="B3389" t="str">
            <v>ENVELOPAMENTO DE ELETRODUTOS PVC 2 DIAM. 3"</v>
          </cell>
          <cell r="C3389" t="str">
            <v>M</v>
          </cell>
          <cell r="D3389">
            <v>92.14</v>
          </cell>
        </row>
        <row r="3390">
          <cell r="A3390" t="str">
            <v>515216</v>
          </cell>
          <cell r="B3390" t="str">
            <v>ENVELOPAMENTO DE ELETRODUTOS PVC 2 DIAM. 4"</v>
          </cell>
          <cell r="C3390" t="str">
            <v>M</v>
          </cell>
          <cell r="D3390">
            <v>121</v>
          </cell>
        </row>
        <row r="3391">
          <cell r="A3391" t="str">
            <v>515217</v>
          </cell>
          <cell r="B3391" t="str">
            <v>ENVELOPAMENTO DE ELETRODUTOS PVC 1 DIAM. 1 1/4" + 1 DIAM. 1"</v>
          </cell>
          <cell r="C3391" t="str">
            <v>M</v>
          </cell>
          <cell r="D3391">
            <v>40.200000000000003</v>
          </cell>
        </row>
        <row r="3392">
          <cell r="A3392" t="str">
            <v>515218</v>
          </cell>
          <cell r="B3392" t="str">
            <v>ENVELOPAMENTO DE ELETRODUTOS PVC 1 DIAM. 4" + 1 DIAM. 3/4"</v>
          </cell>
          <cell r="C3392" t="str">
            <v>M</v>
          </cell>
          <cell r="D3392">
            <v>77.91</v>
          </cell>
        </row>
        <row r="3393">
          <cell r="A3393" t="str">
            <v>515219</v>
          </cell>
          <cell r="B3393" t="str">
            <v>ENVELOPAMENTO DE ELETRODUTOS PVC 2 DIAM. 2" + 1 DIAM. 1"</v>
          </cell>
          <cell r="C3393" t="str">
            <v>M</v>
          </cell>
          <cell r="D3393">
            <v>73.180000000000007</v>
          </cell>
        </row>
        <row r="3394">
          <cell r="A3394" t="str">
            <v>515220</v>
          </cell>
          <cell r="B3394" t="str">
            <v>ENVELOPAMENTO DE ELETRODUTOS PVC 1 DIAM. 3/4 POL. + 1 DIAM. 1 POL.</v>
          </cell>
          <cell r="C3394" t="str">
            <v>M</v>
          </cell>
          <cell r="D3394">
            <v>32.619999999999997</v>
          </cell>
        </row>
        <row r="3395">
          <cell r="A3395" t="str">
            <v>515221</v>
          </cell>
          <cell r="B3395" t="str">
            <v>ENVELOPAMENTO DE ELETRODUTOS PVC 1 DIAM. 3/4 POL. + 1 DIAM. 1 1/2 POL.</v>
          </cell>
          <cell r="C3395" t="str">
            <v>M</v>
          </cell>
          <cell r="D3395">
            <v>38.57</v>
          </cell>
        </row>
        <row r="3396">
          <cell r="A3396" t="str">
            <v>515222</v>
          </cell>
          <cell r="B3396" t="str">
            <v>ENVELOPAMENTO DE ELETRODUTOS PVC 3 DIAM. 3/4 POL. + 1 DIAM. 1 1/2 POL. + 2 DIAM. 1 POL.</v>
          </cell>
          <cell r="C3396" t="str">
            <v>M</v>
          </cell>
          <cell r="D3396">
            <v>82.16</v>
          </cell>
        </row>
        <row r="3397">
          <cell r="A3397" t="str">
            <v>515223</v>
          </cell>
          <cell r="B3397" t="str">
            <v>ENVELOPAMENTO DE ELETRODUTOS PVC 2 DIAM. 3/4 POL. + 1 DIAM. 1 POL.</v>
          </cell>
          <cell r="C3397" t="str">
            <v>M</v>
          </cell>
          <cell r="D3397">
            <v>43.66</v>
          </cell>
        </row>
        <row r="3398">
          <cell r="A3398" t="str">
            <v>515224</v>
          </cell>
          <cell r="B3398" t="str">
            <v>ENVELOPAMENTO DE ELETRODUTOS PVC 2 DIAM. 3/4 POL. + 1 DIAM. 1 1/2 POL.</v>
          </cell>
          <cell r="C3398" t="str">
            <v>M</v>
          </cell>
          <cell r="D3398">
            <v>49.76</v>
          </cell>
        </row>
        <row r="3399">
          <cell r="A3399" t="str">
            <v>515225</v>
          </cell>
          <cell r="B3399" t="str">
            <v>ENVELOPAMENTO DE ELETRODUTOS PVC 2 DIAM. 3/4 POL. + 1 DIAM. 1 1/2 POL. + 1 DIAM. 1 POL.</v>
          </cell>
          <cell r="C3399" t="str">
            <v>M</v>
          </cell>
          <cell r="D3399">
            <v>59.5</v>
          </cell>
        </row>
        <row r="3400">
          <cell r="A3400" t="str">
            <v>515226</v>
          </cell>
          <cell r="B3400" t="str">
            <v>ENVELOPAMENTO DE ELETRODUTOS PVC 2 DIAM. 1 POL. + 2 DIAM. 1 1/2 POL.</v>
          </cell>
          <cell r="C3400" t="str">
            <v>M</v>
          </cell>
          <cell r="D3400">
            <v>71.66</v>
          </cell>
        </row>
        <row r="3402">
          <cell r="A3402" t="str">
            <v>515300</v>
          </cell>
          <cell r="B3402" t="str">
            <v>RESERVADO PARA INSTALACOES PREDIAIS (515301 A 515399)</v>
          </cell>
        </row>
        <row r="3404">
          <cell r="A3404" t="str">
            <v>516000</v>
          </cell>
          <cell r="B3404" t="str">
            <v>INSTALACOES</v>
          </cell>
        </row>
        <row r="3405">
          <cell r="A3405" t="str">
            <v>516100</v>
          </cell>
          <cell r="B3405" t="str">
            <v>RESERVADO PARA INSTALACOES HIDRAULICAS/ELETRICAS (516101 A 516199)</v>
          </cell>
        </row>
        <row r="3407">
          <cell r="A3407" t="str">
            <v>517000</v>
          </cell>
          <cell r="B3407" t="str">
            <v>INSTALACOES DE PRODUCAO</v>
          </cell>
        </row>
        <row r="3408">
          <cell r="A3408" t="str">
            <v>517200</v>
          </cell>
          <cell r="B3408" t="str">
            <v>RESERVADO PARA INSTALACOES DE PRODUCAO (517201 A 517299)</v>
          </cell>
        </row>
        <row r="3410">
          <cell r="A3410" t="str">
            <v>518000</v>
          </cell>
          <cell r="B3410" t="str">
            <v>URBANIZACAO</v>
          </cell>
        </row>
        <row r="3411">
          <cell r="A3411" t="str">
            <v>518100</v>
          </cell>
          <cell r="B3411" t="str">
            <v>RESERVADO PARA URBANIZACAO (518101 A 518199)</v>
          </cell>
        </row>
        <row r="3413">
          <cell r="A3413" t="str">
            <v>519000</v>
          </cell>
          <cell r="B3413" t="str">
            <v>SERVICOS DIVERSOS</v>
          </cell>
        </row>
        <row r="3414">
          <cell r="A3414" t="str">
            <v>519200</v>
          </cell>
          <cell r="B3414" t="str">
            <v>SECCIONAMENTO DE REDE EXISTENTE</v>
          </cell>
        </row>
        <row r="3415">
          <cell r="A3415" t="str">
            <v>519201</v>
          </cell>
          <cell r="B3415" t="str">
            <v>DIAMETRO 50 MM, FERRO GALVANIZADO</v>
          </cell>
          <cell r="C3415" t="str">
            <v>UN</v>
          </cell>
          <cell r="D3415">
            <v>88.37</v>
          </cell>
        </row>
        <row r="3416">
          <cell r="A3416" t="str">
            <v>519202</v>
          </cell>
          <cell r="B3416" t="str">
            <v>DIAMETRO 75 MM FERRO GALVANIZADO</v>
          </cell>
          <cell r="C3416" t="str">
            <v>UN</v>
          </cell>
          <cell r="D3416">
            <v>91.86</v>
          </cell>
        </row>
        <row r="3417">
          <cell r="A3417" t="str">
            <v>519203</v>
          </cell>
          <cell r="B3417" t="str">
            <v>DIAMETRO 100 MM, FERRO GALVANIZADO</v>
          </cell>
          <cell r="C3417" t="str">
            <v>UN</v>
          </cell>
          <cell r="D3417">
            <v>94.9</v>
          </cell>
        </row>
        <row r="3418">
          <cell r="A3418" t="str">
            <v>519204</v>
          </cell>
          <cell r="B3418" t="str">
            <v>DIAMETRO 50 MM, FERRO FUNDIDO</v>
          </cell>
          <cell r="C3418" t="str">
            <v>UN</v>
          </cell>
          <cell r="D3418">
            <v>101.77</v>
          </cell>
        </row>
        <row r="3419">
          <cell r="A3419" t="str">
            <v>519205</v>
          </cell>
          <cell r="B3419" t="str">
            <v>DIAMETRO 75 MM, FERRO FUNDIDO</v>
          </cell>
          <cell r="C3419" t="str">
            <v>UN</v>
          </cell>
          <cell r="D3419">
            <v>105.25</v>
          </cell>
        </row>
        <row r="3420">
          <cell r="A3420" t="str">
            <v>519206</v>
          </cell>
          <cell r="B3420" t="str">
            <v>DIAMETRO 100 MM, FERRO FUNDIDO</v>
          </cell>
          <cell r="C3420" t="str">
            <v>UN</v>
          </cell>
          <cell r="D3420">
            <v>108.3</v>
          </cell>
        </row>
        <row r="3421">
          <cell r="A3421" t="str">
            <v>519207</v>
          </cell>
          <cell r="B3421" t="str">
            <v>DIAMETRO 50 MM, PVC</v>
          </cell>
          <cell r="C3421" t="str">
            <v>UN</v>
          </cell>
          <cell r="D3421">
            <v>87.15</v>
          </cell>
        </row>
        <row r="3422">
          <cell r="A3422" t="str">
            <v>519208</v>
          </cell>
          <cell r="B3422" t="str">
            <v>DIAMETRO 75 MM, PVC</v>
          </cell>
          <cell r="C3422" t="str">
            <v>UN</v>
          </cell>
          <cell r="D3422">
            <v>90.63</v>
          </cell>
        </row>
        <row r="3423">
          <cell r="A3423" t="str">
            <v>519209</v>
          </cell>
          <cell r="B3423" t="str">
            <v>DIAMETRO 100 MM, PVC</v>
          </cell>
          <cell r="C3423" t="str">
            <v>UN</v>
          </cell>
          <cell r="D3423">
            <v>93.64</v>
          </cell>
        </row>
        <row r="3424">
          <cell r="A3424" t="str">
            <v>519210</v>
          </cell>
          <cell r="B3424" t="str">
            <v>DIAMETRO 50 MM, FIBRO-CIMENTO</v>
          </cell>
          <cell r="C3424" t="str">
            <v>UN</v>
          </cell>
          <cell r="D3424">
            <v>89.57</v>
          </cell>
        </row>
        <row r="3425">
          <cell r="A3425" t="str">
            <v>519211</v>
          </cell>
          <cell r="B3425" t="str">
            <v>DIAMETRO 100 MM, FIBRO-CIMENTO</v>
          </cell>
          <cell r="C3425" t="str">
            <v>UN</v>
          </cell>
          <cell r="D3425">
            <v>96.11</v>
          </cell>
        </row>
        <row r="3426">
          <cell r="A3426" t="str">
            <v>519212</v>
          </cell>
          <cell r="B3426" t="str">
            <v>DIAMETRO 150 MM, FIBRO-CIMENTO</v>
          </cell>
          <cell r="C3426" t="str">
            <v>UN</v>
          </cell>
          <cell r="D3426">
            <v>112.47</v>
          </cell>
        </row>
        <row r="3427">
          <cell r="A3427" t="str">
            <v>519213</v>
          </cell>
          <cell r="B3427" t="str">
            <v>DIAMETRO 200 MM, FIBRO-CIMENTO</v>
          </cell>
          <cell r="C3427" t="str">
            <v>UN</v>
          </cell>
          <cell r="D3427">
            <v>121.09</v>
          </cell>
        </row>
        <row r="3428">
          <cell r="A3428" t="str">
            <v>519214</v>
          </cell>
          <cell r="B3428" t="str">
            <v>DIAMETRO 150 MM, FERRO FUNDIDO</v>
          </cell>
          <cell r="C3428" t="str">
            <v>UN</v>
          </cell>
          <cell r="D3428">
            <v>129.28</v>
          </cell>
        </row>
        <row r="3429">
          <cell r="A3429" t="str">
            <v>519215</v>
          </cell>
          <cell r="B3429" t="str">
            <v>DIAMETRO 200 MM, FERRO FUNDIDO</v>
          </cell>
          <cell r="C3429" t="str">
            <v>UN</v>
          </cell>
          <cell r="D3429">
            <v>137.97</v>
          </cell>
        </row>
        <row r="3430">
          <cell r="A3430" t="str">
            <v>519216</v>
          </cell>
          <cell r="B3430" t="str">
            <v>DIAMETRO 250 MM, FERRO FUNDIDO</v>
          </cell>
          <cell r="C3430" t="str">
            <v>UN</v>
          </cell>
          <cell r="D3430">
            <v>166.91</v>
          </cell>
        </row>
        <row r="3431">
          <cell r="A3431" t="str">
            <v>519217</v>
          </cell>
          <cell r="B3431" t="str">
            <v>DIAMETRO 150 MM, PVC</v>
          </cell>
          <cell r="C3431" t="str">
            <v>UN</v>
          </cell>
          <cell r="D3431">
            <v>97.82</v>
          </cell>
        </row>
        <row r="3433">
          <cell r="A3433" t="str">
            <v>519300</v>
          </cell>
          <cell r="B3433" t="str">
            <v>RESERVADO PARA SERVICOS DIVERSOS (519301 A 519399)</v>
          </cell>
        </row>
        <row r="3435">
          <cell r="A3435" t="str">
            <v>521000</v>
          </cell>
          <cell r="B3435" t="str">
            <v>SERVICOS REFERENTES A POCOS TUBULARES PROFUNDOS</v>
          </cell>
        </row>
        <row r="3436">
          <cell r="A3436" t="str">
            <v>521100</v>
          </cell>
          <cell r="B3436" t="str">
            <v>RESERVADO PARA SERVICOS REFERENTES A POCOS TUBULARES PROFUNDOS (521101 A 521999)</v>
          </cell>
        </row>
        <row r="3438">
          <cell r="A3438" t="str">
            <v>522000</v>
          </cell>
          <cell r="B3438" t="str">
            <v>SERVICOS ESPECIAIS</v>
          </cell>
        </row>
        <row r="3439">
          <cell r="A3439" t="str">
            <v>522500</v>
          </cell>
          <cell r="B3439" t="str">
            <v>TRAVESSIA - RESERVADO PARA TRAVESSIA (522501 A 522599)</v>
          </cell>
        </row>
        <row r="3441">
          <cell r="A3441" t="str">
            <v>522600</v>
          </cell>
          <cell r="B3441" t="str">
            <v>MAO DE OBRA</v>
          </cell>
        </row>
        <row r="3442">
          <cell r="A3442" t="str">
            <v>522601</v>
          </cell>
          <cell r="B3442" t="str">
            <v>MAO DE OBRA - BROCA DE CONCRETO, DIAM. 15 CM</v>
          </cell>
          <cell r="C3442" t="str">
            <v>M</v>
          </cell>
          <cell r="D3442">
            <v>15.05</v>
          </cell>
        </row>
        <row r="3443">
          <cell r="A3443" t="str">
            <v>522602</v>
          </cell>
          <cell r="B3443" t="str">
            <v>MAO DE OBRA - BROCA DE CONCRETO, DIAMETRO 20 CM</v>
          </cell>
          <cell r="C3443" t="str">
            <v>M</v>
          </cell>
          <cell r="D3443">
            <v>16.489999999999998</v>
          </cell>
        </row>
        <row r="3444">
          <cell r="A3444" t="str">
            <v>522603</v>
          </cell>
          <cell r="B3444" t="str">
            <v>MAO DE OBRA - BROCA DE CONCRETO, DIAM. 25 CM</v>
          </cell>
          <cell r="C3444" t="str">
            <v>M</v>
          </cell>
          <cell r="D3444">
            <v>18.23</v>
          </cell>
        </row>
        <row r="3445">
          <cell r="A3445" t="str">
            <v>522604</v>
          </cell>
          <cell r="B3445" t="str">
            <v>MAO DE OBRA - FORMA DE MADEIRA COMUM</v>
          </cell>
          <cell r="C3445" t="str">
            <v>M2</v>
          </cell>
          <cell r="D3445">
            <v>18.18</v>
          </cell>
        </row>
        <row r="3446">
          <cell r="A3446" t="str">
            <v>522605</v>
          </cell>
          <cell r="B3446" t="str">
            <v>MAO DE OBRA - FORMA PLANA DE MADEIRA ESTRUTURA</v>
          </cell>
          <cell r="C3446" t="str">
            <v>M2</v>
          </cell>
          <cell r="D3446">
            <v>15.66</v>
          </cell>
        </row>
        <row r="3447">
          <cell r="A3447" t="str">
            <v>522606</v>
          </cell>
          <cell r="B3447" t="str">
            <v>MAO DE OBRA - FORMA PLANA DE MADEIRA APARENTE</v>
          </cell>
          <cell r="C3447" t="str">
            <v>M2</v>
          </cell>
          <cell r="D3447">
            <v>15.66</v>
          </cell>
        </row>
        <row r="3448">
          <cell r="A3448" t="str">
            <v>522607</v>
          </cell>
          <cell r="B3448" t="str">
            <v>MAO DE OBRA - ARMACAO ACO CA-50/CA-60</v>
          </cell>
          <cell r="C3448" t="str">
            <v>KG</v>
          </cell>
          <cell r="D3448">
            <v>1.38</v>
          </cell>
        </row>
        <row r="3449">
          <cell r="A3449" t="str">
            <v>522608</v>
          </cell>
          <cell r="B3449" t="str">
            <v>MAO DE OBRA - CONCRETO ESTRUTURAL</v>
          </cell>
          <cell r="C3449" t="str">
            <v>M3</v>
          </cell>
          <cell r="D3449">
            <v>17.32</v>
          </cell>
        </row>
        <row r="3450">
          <cell r="A3450" t="str">
            <v>522609</v>
          </cell>
          <cell r="B3450" t="str">
            <v>MAO DE OBRA - ALVENARIA ELEV., 1/2 TIJOLO COMUM</v>
          </cell>
          <cell r="C3450" t="str">
            <v>M2</v>
          </cell>
          <cell r="D3450">
            <v>22.66</v>
          </cell>
        </row>
        <row r="3451">
          <cell r="A3451" t="str">
            <v>522610</v>
          </cell>
          <cell r="B3451" t="str">
            <v>MAO DE OBRA - ALVENARIA ELEV., 1 TIJOLO COMUM</v>
          </cell>
          <cell r="C3451" t="str">
            <v>M2</v>
          </cell>
          <cell r="D3451">
            <v>37.69</v>
          </cell>
        </row>
        <row r="3452">
          <cell r="A3452" t="str">
            <v>522611</v>
          </cell>
          <cell r="B3452" t="str">
            <v>MAO DE OBRA - ALVENARIA ELEV, 1/2 TIJOLO A VISTA</v>
          </cell>
          <cell r="C3452" t="str">
            <v>M2</v>
          </cell>
          <cell r="D3452">
            <v>30.13</v>
          </cell>
        </row>
        <row r="3453">
          <cell r="A3453" t="str">
            <v>522612</v>
          </cell>
          <cell r="B3453" t="str">
            <v>MAO DE OBRA - ALVENARIA ELEV., 1 TIJOLO A VISTA</v>
          </cell>
          <cell r="C3453" t="str">
            <v>M2</v>
          </cell>
          <cell r="D3453">
            <v>45.16</v>
          </cell>
        </row>
        <row r="3454">
          <cell r="A3454" t="str">
            <v>522613</v>
          </cell>
          <cell r="B3454" t="str">
            <v>MAO DE OBRA - ALVENARIA DE ELEVACAO,TIJOLO CERAMICA,8 FUROS,ESPELHO</v>
          </cell>
          <cell r="C3454" t="str">
            <v>M2</v>
          </cell>
          <cell r="D3454">
            <v>14.6</v>
          </cell>
        </row>
        <row r="3455">
          <cell r="A3455" t="str">
            <v>522614</v>
          </cell>
          <cell r="B3455" t="str">
            <v>MAO DE OBRA - ALVENARIA DE ELEVACAO,TIJOLO CERAMICA,8 FUROS,CHATO</v>
          </cell>
          <cell r="C3455" t="str">
            <v>M2</v>
          </cell>
          <cell r="D3455">
            <v>24.35</v>
          </cell>
        </row>
        <row r="3456">
          <cell r="A3456" t="str">
            <v>522615</v>
          </cell>
          <cell r="B3456" t="str">
            <v>MAO DE OBRA - COBERTURA COM TELHA FRANCESA</v>
          </cell>
          <cell r="C3456" t="str">
            <v>M2</v>
          </cell>
          <cell r="D3456">
            <v>28.51</v>
          </cell>
        </row>
        <row r="3457">
          <cell r="A3457" t="str">
            <v>522616</v>
          </cell>
          <cell r="B3457" t="str">
            <v>MAO DE OBRA - COBERTURA COM TELHA FIBRO CIMENTO ONDULADO</v>
          </cell>
          <cell r="C3457" t="str">
            <v>M2</v>
          </cell>
          <cell r="D3457">
            <v>22.39</v>
          </cell>
        </row>
        <row r="3458">
          <cell r="A3458" t="str">
            <v>522617</v>
          </cell>
          <cell r="B3458" t="str">
            <v>MAO DE OBRA - COBERTURA COM TELHA FIBRO CIMENTO ESTR. L = 49 CM</v>
          </cell>
          <cell r="C3458" t="str">
            <v>M2</v>
          </cell>
          <cell r="D3458">
            <v>9.8800000000000008</v>
          </cell>
        </row>
        <row r="3459">
          <cell r="A3459" t="str">
            <v>522618</v>
          </cell>
          <cell r="B3459" t="str">
            <v>MAO DE OBRA - COBERTURA COM TELHA FIBRO CIMENTO ESTR. L = 90 CM</v>
          </cell>
          <cell r="C3459" t="str">
            <v>M2</v>
          </cell>
          <cell r="D3459">
            <v>10.91</v>
          </cell>
        </row>
        <row r="3460">
          <cell r="A3460" t="str">
            <v>522619</v>
          </cell>
          <cell r="B3460" t="str">
            <v>MAO DE OBRA - LAJE PRE FABRICADA H-8 PARA FORRO COM CAPA DE 3 CM</v>
          </cell>
          <cell r="C3460" t="str">
            <v>M2</v>
          </cell>
          <cell r="D3460">
            <v>18.2</v>
          </cell>
        </row>
        <row r="3461">
          <cell r="A3461" t="str">
            <v>522620</v>
          </cell>
          <cell r="B3461" t="str">
            <v>MAO DE OBRA - PORTA EXTERNA DE CEDRO, 1 FOLHA</v>
          </cell>
          <cell r="C3461" t="str">
            <v>M2</v>
          </cell>
          <cell r="D3461">
            <v>38.07</v>
          </cell>
        </row>
        <row r="3462">
          <cell r="A3462" t="str">
            <v>522621</v>
          </cell>
          <cell r="B3462" t="str">
            <v>MAO DE OBRA - PORTA INTERNA DE CEDRO, 1 FOLHA</v>
          </cell>
          <cell r="C3462" t="str">
            <v>M2</v>
          </cell>
          <cell r="D3462">
            <v>57.26</v>
          </cell>
        </row>
        <row r="3463">
          <cell r="A3463" t="str">
            <v>522622</v>
          </cell>
          <cell r="B3463" t="str">
            <v>MAO DE OBRA - JANELA BASCULANTE DE FERRO</v>
          </cell>
          <cell r="C3463" t="str">
            <v>M2</v>
          </cell>
          <cell r="D3463">
            <v>24.08</v>
          </cell>
        </row>
        <row r="3464">
          <cell r="A3464" t="str">
            <v>522623</v>
          </cell>
          <cell r="B3464" t="str">
            <v>MAO DE OBRA - JANELA CORRER OU MAXIM AIR DE FERRO</v>
          </cell>
          <cell r="C3464" t="str">
            <v>M2</v>
          </cell>
          <cell r="D3464">
            <v>29.63</v>
          </cell>
        </row>
        <row r="3465">
          <cell r="A3465" t="str">
            <v>522624</v>
          </cell>
          <cell r="B3465" t="str">
            <v>MAO DE OBRA - JANELA BASCULANTE DE ALUMINIO</v>
          </cell>
          <cell r="C3465" t="str">
            <v>M2</v>
          </cell>
          <cell r="D3465">
            <v>32.090000000000003</v>
          </cell>
        </row>
        <row r="3466">
          <cell r="A3466" t="str">
            <v>522625</v>
          </cell>
          <cell r="B3466" t="str">
            <v>MAO DE OBRA - JANELA DE CORRER OU MAXIM AIR DE ALUMINIO</v>
          </cell>
          <cell r="C3466" t="str">
            <v>M2</v>
          </cell>
          <cell r="D3466">
            <v>36.96</v>
          </cell>
        </row>
        <row r="3467">
          <cell r="A3467" t="str">
            <v>522626</v>
          </cell>
          <cell r="B3467" t="str">
            <v>MAO DE OBRA - PORTA DE ENTRADA DE ALUMINIO COM 1 FOLHA ABRIR</v>
          </cell>
          <cell r="C3467" t="str">
            <v>M2</v>
          </cell>
          <cell r="D3467">
            <v>32.21</v>
          </cell>
        </row>
        <row r="3468">
          <cell r="A3468" t="str">
            <v>522627</v>
          </cell>
          <cell r="B3468" t="str">
            <v>MAO DE OBRA - FECHADURA PARA PORTA</v>
          </cell>
          <cell r="C3468" t="str">
            <v>UN</v>
          </cell>
          <cell r="D3468">
            <v>2.0299999999999998</v>
          </cell>
        </row>
        <row r="3469">
          <cell r="A3469" t="str">
            <v>522628</v>
          </cell>
          <cell r="B3469" t="str">
            <v>MAO DE OBRA - VIDRO PLANO DUPLO/TRIPLO</v>
          </cell>
          <cell r="C3469" t="str">
            <v>M2</v>
          </cell>
          <cell r="D3469">
            <v>20.239999999999998</v>
          </cell>
        </row>
        <row r="3470">
          <cell r="A3470" t="str">
            <v>522629</v>
          </cell>
          <cell r="B3470" t="str">
            <v>MAO DE OBRA - CHAPISCO</v>
          </cell>
          <cell r="C3470" t="str">
            <v>M2</v>
          </cell>
          <cell r="D3470">
            <v>3.15</v>
          </cell>
        </row>
        <row r="3471">
          <cell r="A3471" t="str">
            <v>522630</v>
          </cell>
          <cell r="B3471" t="str">
            <v>MAO DE OBRA - EMBOCO</v>
          </cell>
          <cell r="C3471" t="str">
            <v>M2</v>
          </cell>
          <cell r="D3471">
            <v>11.86</v>
          </cell>
        </row>
        <row r="3472">
          <cell r="A3472" t="str">
            <v>522631</v>
          </cell>
          <cell r="B3472" t="str">
            <v>MAO DE OBRA - REBOCO</v>
          </cell>
          <cell r="C3472" t="str">
            <v>M2</v>
          </cell>
          <cell r="D3472">
            <v>7.9</v>
          </cell>
        </row>
        <row r="3473">
          <cell r="A3473" t="str">
            <v>522632</v>
          </cell>
          <cell r="B3473" t="str">
            <v>MAO DE OBRA - REVESTIMENTO COM AZULEJO</v>
          </cell>
          <cell r="C3473" t="str">
            <v>M2</v>
          </cell>
          <cell r="D3473">
            <v>31.14</v>
          </cell>
        </row>
        <row r="3474">
          <cell r="A3474" t="str">
            <v>522633</v>
          </cell>
          <cell r="B3474" t="str">
            <v>MAO DE OBRA - EXECUCAO PASSEIO CIMENTADO</v>
          </cell>
          <cell r="C3474" t="str">
            <v>M2</v>
          </cell>
          <cell r="D3474">
            <v>4.92</v>
          </cell>
        </row>
        <row r="3475">
          <cell r="A3475" t="str">
            <v>522634</v>
          </cell>
          <cell r="B3475" t="str">
            <v>MAO DE OBRA - CONTRAPISO DE CONCRETO NAO ESTRUTURAL</v>
          </cell>
          <cell r="C3475" t="str">
            <v>M3</v>
          </cell>
          <cell r="D3475">
            <v>17.32</v>
          </cell>
        </row>
        <row r="3476">
          <cell r="A3476" t="str">
            <v>522635</v>
          </cell>
          <cell r="B3476" t="str">
            <v>MAO DE OBRA - PISO EXTERNO DE CONCRETO NAO ESTRUTURAL</v>
          </cell>
          <cell r="C3476" t="str">
            <v>M3</v>
          </cell>
          <cell r="D3476">
            <v>27.09</v>
          </cell>
        </row>
        <row r="3477">
          <cell r="A3477" t="str">
            <v>522636</v>
          </cell>
          <cell r="B3477" t="str">
            <v>MAO DE OBRA - PISO CIMENTADO LISO</v>
          </cell>
          <cell r="C3477" t="str">
            <v>M2</v>
          </cell>
          <cell r="D3477">
            <v>12.54</v>
          </cell>
        </row>
        <row r="3478">
          <cell r="A3478" t="str">
            <v>522637</v>
          </cell>
          <cell r="B3478" t="str">
            <v>MAO DE OBRA - PISO CERAMICO</v>
          </cell>
          <cell r="C3478" t="str">
            <v>M2</v>
          </cell>
          <cell r="D3478">
            <v>18.559999999999999</v>
          </cell>
        </row>
        <row r="3479">
          <cell r="A3479" t="str">
            <v>522638</v>
          </cell>
          <cell r="B3479" t="str">
            <v>MAO DE OBRA - PISO VINILICO</v>
          </cell>
          <cell r="C3479" t="str">
            <v>M2</v>
          </cell>
          <cell r="D3479">
            <v>12.36</v>
          </cell>
        </row>
        <row r="3480">
          <cell r="A3480" t="str">
            <v>522639</v>
          </cell>
          <cell r="B3480" t="str">
            <v>MAO DE OBRA - PISO DE BORRACHA</v>
          </cell>
          <cell r="C3480" t="str">
            <v>M2</v>
          </cell>
          <cell r="D3480">
            <v>20.81</v>
          </cell>
        </row>
        <row r="3481">
          <cell r="A3481" t="str">
            <v>522640</v>
          </cell>
          <cell r="B3481" t="str">
            <v>MAO DE OBRA - IMPERMEABILIZACAO RIGIDA COM ARGAMASSA</v>
          </cell>
          <cell r="C3481" t="str">
            <v>M2</v>
          </cell>
          <cell r="D3481">
            <v>23.82</v>
          </cell>
        </row>
        <row r="3482">
          <cell r="A3482" t="str">
            <v>522641</v>
          </cell>
          <cell r="B3482" t="str">
            <v>MAO DE OBRA - IMPERMEABILIZACAO BETUMINOSA</v>
          </cell>
          <cell r="C3482" t="str">
            <v>M2</v>
          </cell>
          <cell r="D3482">
            <v>1.94</v>
          </cell>
        </row>
        <row r="3483">
          <cell r="A3483" t="str">
            <v>522642</v>
          </cell>
          <cell r="B3483" t="str">
            <v>MAO DE OBRA - PINTURA A CAL</v>
          </cell>
          <cell r="C3483" t="str">
            <v>M2</v>
          </cell>
          <cell r="D3483">
            <v>2.93</v>
          </cell>
        </row>
        <row r="3484">
          <cell r="A3484" t="str">
            <v>522643</v>
          </cell>
          <cell r="B3484" t="str">
            <v>MAO DE OBRA - PINTURA LATEX, SEM MASSA CORRIDA</v>
          </cell>
          <cell r="C3484" t="str">
            <v>M2</v>
          </cell>
          <cell r="D3484">
            <v>6.31</v>
          </cell>
        </row>
        <row r="3485">
          <cell r="A3485" t="str">
            <v>522644</v>
          </cell>
          <cell r="B3485" t="str">
            <v>MAO DE OBRA - PINTURA LATEX, COM MASSA CORRIDA</v>
          </cell>
          <cell r="C3485" t="str">
            <v>M2</v>
          </cell>
          <cell r="D3485">
            <v>8.81</v>
          </cell>
        </row>
        <row r="3486">
          <cell r="A3486" t="str">
            <v>522645</v>
          </cell>
          <cell r="B3486" t="str">
            <v>MAO DE OBRA - PINTURA A OLEO, SEM MASSA CORRIDA</v>
          </cell>
          <cell r="C3486" t="str">
            <v>M2</v>
          </cell>
          <cell r="D3486">
            <v>5.25</v>
          </cell>
        </row>
        <row r="3487">
          <cell r="A3487" t="str">
            <v>522646</v>
          </cell>
          <cell r="B3487" t="str">
            <v>MAO DE OBRA - PINTURA A OLEO, COM MASSA CORRIDA</v>
          </cell>
          <cell r="C3487" t="str">
            <v>M2</v>
          </cell>
          <cell r="D3487">
            <v>9.49</v>
          </cell>
        </row>
        <row r="3488">
          <cell r="A3488" t="str">
            <v>522647</v>
          </cell>
          <cell r="B3488" t="str">
            <v>MAO DE OBRA - PINTURA ESMALTE, SEM MASSA CORRIDA</v>
          </cell>
          <cell r="C3488" t="str">
            <v>M2</v>
          </cell>
          <cell r="D3488">
            <v>5.25</v>
          </cell>
        </row>
        <row r="3489">
          <cell r="A3489" t="str">
            <v>522648</v>
          </cell>
          <cell r="B3489" t="str">
            <v>MAO DE OBRA - PINTURA ESMALTE, COM MASSA CORRIDA</v>
          </cell>
          <cell r="C3489" t="str">
            <v>M2</v>
          </cell>
          <cell r="D3489">
            <v>9.82</v>
          </cell>
        </row>
        <row r="3490">
          <cell r="A3490" t="str">
            <v>522649</v>
          </cell>
          <cell r="B3490" t="str">
            <v>MAO DE OBRA - PINTURA EM METAL</v>
          </cell>
          <cell r="C3490" t="str">
            <v>M2</v>
          </cell>
          <cell r="D3490">
            <v>11.18</v>
          </cell>
        </row>
        <row r="3492">
          <cell r="A3492" t="str">
            <v>522700</v>
          </cell>
          <cell r="B3492" t="str">
            <v>DIVERSOS</v>
          </cell>
        </row>
        <row r="3493">
          <cell r="A3493" t="str">
            <v>522800</v>
          </cell>
          <cell r="B3493" t="str">
            <v>OBRAS LOCALIZADAS</v>
          </cell>
        </row>
        <row r="3494">
          <cell r="A3494" t="str">
            <v>522801</v>
          </cell>
          <cell r="B3494" t="str">
            <v>CONSTRUCAO DO RESERVATORIO APOIADO DE ALVENARIA 09 M3 - CORPO PADRAO</v>
          </cell>
          <cell r="C3494" t="str">
            <v>GB</v>
          </cell>
          <cell r="D3494">
            <v>10257.49</v>
          </cell>
        </row>
        <row r="3495">
          <cell r="A3495" t="str">
            <v>522802</v>
          </cell>
          <cell r="B3495" t="str">
            <v>CONSTRUCAO DO RESERVATORIO APOIADO DE ALVENARIA 16 M3 - CORPO PADRAO</v>
          </cell>
          <cell r="C3495" t="str">
            <v>GB</v>
          </cell>
          <cell r="D3495">
            <v>11772.41</v>
          </cell>
        </row>
        <row r="3496">
          <cell r="A3496" t="str">
            <v>522803</v>
          </cell>
          <cell r="B3496" t="str">
            <v>CONSTRUCAO DO RESERVATORIO APOIADO DE ALVENARIA 30 M3 - CORPO PADRAO</v>
          </cell>
          <cell r="C3496" t="str">
            <v>GB</v>
          </cell>
          <cell r="D3496">
            <v>26714.65</v>
          </cell>
        </row>
        <row r="3497">
          <cell r="A3497" t="str">
            <v>522804</v>
          </cell>
          <cell r="B3497" t="str">
            <v>CONSTRUCAO DO RESERVATORIO APOIADO DE ALVENARIA 50 M3 - CORPO PADRAO</v>
          </cell>
          <cell r="C3497" t="str">
            <v>GB</v>
          </cell>
          <cell r="D3497">
            <v>37872.29</v>
          </cell>
        </row>
        <row r="3498">
          <cell r="A3498" t="str">
            <v>522805</v>
          </cell>
          <cell r="B3498" t="str">
            <v>CONSTRUCAO DO RESERVATORIO APOIADO DE CONCRETO 50 M3 - CORPO PADRAO</v>
          </cell>
          <cell r="C3498" t="str">
            <v>GB</v>
          </cell>
          <cell r="D3498">
            <v>28964.66</v>
          </cell>
        </row>
        <row r="3499">
          <cell r="A3499" t="str">
            <v>522806</v>
          </cell>
          <cell r="B3499" t="str">
            <v>CONSTRUCAO DO RESERVATORIO APOIADO DE CONCRETO 75 M3 - CORPO PADRAO</v>
          </cell>
          <cell r="C3499" t="str">
            <v>GB</v>
          </cell>
          <cell r="D3499">
            <v>34728.129999999997</v>
          </cell>
        </row>
        <row r="3500">
          <cell r="A3500" t="str">
            <v>522807</v>
          </cell>
          <cell r="B3500" t="str">
            <v>CONSTRUCAO DO RESERVATORIO APOIADO DE CONCRETO 100 M3 - CORPO PADRAO</v>
          </cell>
          <cell r="C3500" t="str">
            <v>GB</v>
          </cell>
          <cell r="D3500">
            <v>41169.879999999997</v>
          </cell>
        </row>
        <row r="3501">
          <cell r="A3501" t="str">
            <v>522808</v>
          </cell>
          <cell r="B3501" t="str">
            <v>CONSTRUCAO DO RESERVATORIO APOIADO DE CONCRETO 150 M3 - CORPO PADRAO</v>
          </cell>
          <cell r="C3501" t="str">
            <v>GB</v>
          </cell>
          <cell r="D3501">
            <v>52163.86</v>
          </cell>
        </row>
        <row r="3502">
          <cell r="A3502" t="str">
            <v>522809</v>
          </cell>
          <cell r="B3502" t="str">
            <v>CONSTRUCAO DO RESERVATORIO APOIADO DE CONCRETO 200 M3 - CORPO PADRAO</v>
          </cell>
          <cell r="C3502" t="str">
            <v>GB</v>
          </cell>
          <cell r="D3502">
            <v>62556.37</v>
          </cell>
        </row>
        <row r="3503">
          <cell r="A3503" t="str">
            <v>522810</v>
          </cell>
          <cell r="B3503" t="str">
            <v>CONSTRUCAO DO RESERVATORIO APOIADO DE CONCRETO 250 M3 - CORPO PADRAO</v>
          </cell>
          <cell r="C3503" t="str">
            <v>GB</v>
          </cell>
          <cell r="D3503">
            <v>75871.64</v>
          </cell>
        </row>
        <row r="3504">
          <cell r="A3504" t="str">
            <v>522811</v>
          </cell>
          <cell r="B3504" t="str">
            <v>CONSTRUCAO DO RESERVATORIO APOIADO DE CONCRETO 300 M3 - CORPO PADRAO</v>
          </cell>
          <cell r="C3504" t="str">
            <v>GB</v>
          </cell>
          <cell r="D3504">
            <v>82708.2</v>
          </cell>
        </row>
        <row r="3505">
          <cell r="A3505" t="str">
            <v>522812</v>
          </cell>
          <cell r="B3505" t="str">
            <v>CONSTRUCAO DO RESERVATORIO APOIADO DE CONCRETO 350 M3 - CORPO PADRAO</v>
          </cell>
          <cell r="C3505" t="str">
            <v>GB</v>
          </cell>
          <cell r="D3505">
            <v>90024.4</v>
          </cell>
        </row>
        <row r="3506">
          <cell r="A3506" t="str">
            <v>522813</v>
          </cell>
          <cell r="B3506" t="str">
            <v>CONSTRUCAO DO RESERVATORIO APOIADO DE CONCRETO 400 M3 - CORPO PADRAO</v>
          </cell>
          <cell r="C3506" t="str">
            <v>GB</v>
          </cell>
          <cell r="D3506">
            <v>99918.09</v>
          </cell>
        </row>
        <row r="3507">
          <cell r="A3507" t="str">
            <v>522814</v>
          </cell>
          <cell r="B3507" t="str">
            <v>CONSTRUCAO DO RESERVATORIO APOIADO DE CONCRETO 450 M3 - CORPO PADRAO</v>
          </cell>
          <cell r="C3507" t="str">
            <v>GB</v>
          </cell>
          <cell r="D3507">
            <v>108090.58</v>
          </cell>
        </row>
        <row r="3508">
          <cell r="A3508" t="str">
            <v>522815</v>
          </cell>
          <cell r="B3508" t="str">
            <v>CONSTRUCAO DO RESERVATORIO APOIADO DE CONCRETO 500 M3 - CORPO PADRAO</v>
          </cell>
          <cell r="C3508" t="str">
            <v>GB</v>
          </cell>
          <cell r="D3508">
            <v>119346.15</v>
          </cell>
        </row>
        <row r="3509">
          <cell r="A3509" t="str">
            <v>522816</v>
          </cell>
          <cell r="B3509" t="str">
            <v>CONSTRUCAO DO RESERVATORIO APOIADO DE CONCRETO 600 M3 - CORPO PADRAO</v>
          </cell>
          <cell r="C3509" t="str">
            <v>GB</v>
          </cell>
          <cell r="D3509">
            <v>134050.56</v>
          </cell>
        </row>
        <row r="3510">
          <cell r="A3510" t="str">
            <v>522817</v>
          </cell>
          <cell r="B3510" t="str">
            <v>CONSTRUCAO DO RESERVATORIO APOIADO DE CONCRETO 700 M3 - CORPO PADRAO</v>
          </cell>
          <cell r="C3510" t="str">
            <v>GB</v>
          </cell>
          <cell r="D3510">
            <v>151112.51</v>
          </cell>
        </row>
        <row r="3511">
          <cell r="A3511" t="str">
            <v>522818</v>
          </cell>
          <cell r="B3511" t="str">
            <v>CONSTRUCAO DO RESERVATORIO APOIADO DE CONCRETO 750 M3 - CORPO PADRAO</v>
          </cell>
          <cell r="C3511" t="str">
            <v>GB</v>
          </cell>
          <cell r="D3511">
            <v>161038.75</v>
          </cell>
        </row>
        <row r="3512">
          <cell r="A3512" t="str">
            <v>522819</v>
          </cell>
          <cell r="B3512" t="str">
            <v>CONSTRUCAO DO RESERVATORIO APOIADO DE CONCRETO 1.000 M3 - CORPO PADRAO</v>
          </cell>
          <cell r="C3512" t="str">
            <v>GB</v>
          </cell>
          <cell r="D3512">
            <v>206295.19</v>
          </cell>
        </row>
        <row r="3513">
          <cell r="A3513" t="str">
            <v>522820</v>
          </cell>
          <cell r="B3513" t="str">
            <v>CONSTRUCAO DO RESERVATORIO APOIADO DE CONCRETO 1.500 M3 - CORPO PADRAO</v>
          </cell>
          <cell r="C3513" t="str">
            <v>GB</v>
          </cell>
          <cell r="D3513">
            <v>277159.67</v>
          </cell>
        </row>
        <row r="3514">
          <cell r="A3514" t="str">
            <v>522821</v>
          </cell>
          <cell r="B3514" t="str">
            <v>CONSTRUCAO DO RESERVATORIO APOIADO DE CONCRETO 2.000 M3 - CORPO PADRAO</v>
          </cell>
          <cell r="C3514" t="str">
            <v>GB</v>
          </cell>
          <cell r="D3514">
            <v>330371.14</v>
          </cell>
        </row>
        <row r="3515">
          <cell r="A3515" t="str">
            <v>522822</v>
          </cell>
          <cell r="B3515" t="str">
            <v>CONSTRUCAO DA ETA 12 L/S - 1 MODULO - CORPO PADRAO</v>
          </cell>
          <cell r="C3515" t="str">
            <v>GB</v>
          </cell>
          <cell r="D3515">
            <v>105958.91</v>
          </cell>
        </row>
        <row r="3516">
          <cell r="A3516" t="str">
            <v>522823</v>
          </cell>
          <cell r="B3516" t="str">
            <v>CONSTRUCAO DA ETA 16 L/S - 1 MODULO - CORPO PADRAO</v>
          </cell>
          <cell r="C3516" t="str">
            <v>GB</v>
          </cell>
          <cell r="D3516">
            <v>124061.28</v>
          </cell>
        </row>
        <row r="3517">
          <cell r="A3517" t="str">
            <v>522824</v>
          </cell>
          <cell r="B3517" t="str">
            <v>CONSTRUCAO DA ETA 20 L/S - 1 MODULO - CORPO PADRAO</v>
          </cell>
          <cell r="C3517" t="str">
            <v>GB</v>
          </cell>
          <cell r="D3517">
            <v>143266.70000000001</v>
          </cell>
        </row>
        <row r="3518">
          <cell r="A3518" t="str">
            <v>522825</v>
          </cell>
          <cell r="B3518" t="str">
            <v>CONSTRUCAO DA ETA 25 L/S - 1 MODULO - CORPO PADRAO</v>
          </cell>
          <cell r="C3518" t="str">
            <v>GB</v>
          </cell>
          <cell r="D3518">
            <v>168047.38</v>
          </cell>
        </row>
        <row r="3519">
          <cell r="A3519" t="str">
            <v>522826</v>
          </cell>
          <cell r="B3519" t="str">
            <v>CONSTRUCAO DA CASA QUIMICA TIPO A - CORPO PADRAO</v>
          </cell>
          <cell r="C3519" t="str">
            <v>GB</v>
          </cell>
          <cell r="D3519">
            <v>81272.72</v>
          </cell>
        </row>
        <row r="3520">
          <cell r="A3520" t="str">
            <v>522827</v>
          </cell>
          <cell r="B3520" t="str">
            <v>CONSTRUCAO DA CASA DE QUIMICA TIPO "B" - CORPO PADRAO</v>
          </cell>
          <cell r="C3520" t="str">
            <v>GB</v>
          </cell>
          <cell r="D3520">
            <v>89442.46</v>
          </cell>
        </row>
        <row r="3521">
          <cell r="A3521" t="str">
            <v>522828</v>
          </cell>
          <cell r="B3521" t="str">
            <v>CONSTRUCAO DO ESCRITORIO TIPO "B" - CORPO PADRAO</v>
          </cell>
          <cell r="C3521" t="str">
            <v>GB</v>
          </cell>
          <cell r="D3521">
            <v>54003.49</v>
          </cell>
        </row>
        <row r="3522">
          <cell r="A3522" t="str">
            <v>522829</v>
          </cell>
          <cell r="B3522" t="str">
            <v>CONSTRUCAO DO ESCRITORIO TIPO "C" - CORPO PADRAO</v>
          </cell>
          <cell r="C3522" t="str">
            <v>GB</v>
          </cell>
          <cell r="D3522">
            <v>54578.33</v>
          </cell>
        </row>
        <row r="3523">
          <cell r="A3523" t="str">
            <v>522830</v>
          </cell>
          <cell r="B3523" t="str">
            <v>CONSTRUCAO DO ESCRITORIO TIPO "J" - CORPO PADRAO</v>
          </cell>
          <cell r="C3523" t="str">
            <v>GB</v>
          </cell>
          <cell r="D3523">
            <v>72206.490000000005</v>
          </cell>
        </row>
        <row r="3524">
          <cell r="A3524" t="str">
            <v>522831</v>
          </cell>
          <cell r="B3524" t="str">
            <v>CONSTRUCAO DA EEA TIPO "A" COM SALA DE HIPOCLORACAO E FLUORETACAO - CORPO PADRAO</v>
          </cell>
          <cell r="C3524" t="str">
            <v>GB</v>
          </cell>
          <cell r="D3524">
            <v>35308.82</v>
          </cell>
        </row>
        <row r="3525">
          <cell r="A3525" t="str">
            <v>522832</v>
          </cell>
          <cell r="B3525" t="str">
            <v>CONSTRUCAO DA EEA TIPO "Q1" - PROF. 2,95 M - CORPO PADRAO</v>
          </cell>
          <cell r="C3525" t="str">
            <v>GB</v>
          </cell>
          <cell r="D3525">
            <v>11301.94</v>
          </cell>
        </row>
        <row r="3526">
          <cell r="A3526" t="str">
            <v>522833</v>
          </cell>
          <cell r="B3526" t="str">
            <v>CONSTRUCAO DA EEE TIPO "AO", PROF. 4,00 M - CORPO PADRAO</v>
          </cell>
          <cell r="C3526" t="str">
            <v>GB</v>
          </cell>
          <cell r="D3526">
            <v>13249.6</v>
          </cell>
        </row>
        <row r="3527">
          <cell r="A3527" t="str">
            <v>522834</v>
          </cell>
          <cell r="B3527" t="str">
            <v>CONSTRUCAO DA EEE TIPO "A1" PROF. 4,50 M - CORPO PADRAO</v>
          </cell>
          <cell r="C3527" t="str">
            <v>GB</v>
          </cell>
          <cell r="D3527">
            <v>17913.8</v>
          </cell>
        </row>
        <row r="3528">
          <cell r="A3528" t="str">
            <v>522835</v>
          </cell>
          <cell r="B3528" t="str">
            <v>CONSTRUCAO DA EEE TIPO "A2" PROF. 5,00 M - CORPO PADRAO</v>
          </cell>
          <cell r="C3528" t="str">
            <v>GB</v>
          </cell>
          <cell r="D3528">
            <v>23934.09</v>
          </cell>
        </row>
        <row r="3529">
          <cell r="A3529" t="str">
            <v>522836</v>
          </cell>
          <cell r="B3529" t="str">
            <v>CONSTRUCAO DA EEE TIPO "A3" PROF. 5,50 M - CORPO PADRAO</v>
          </cell>
          <cell r="C3529" t="str">
            <v>GB</v>
          </cell>
          <cell r="D3529">
            <v>30668.65</v>
          </cell>
        </row>
        <row r="3530">
          <cell r="A3530" t="str">
            <v>522837</v>
          </cell>
          <cell r="B3530" t="str">
            <v>CONSTRUCAO DA EEE TIPO "A4" PROF. 7,50 M - CORPO PADRAO</v>
          </cell>
          <cell r="C3530" t="str">
            <v>GB</v>
          </cell>
          <cell r="D3530">
            <v>51371.31</v>
          </cell>
        </row>
        <row r="3531">
          <cell r="A3531" t="str">
            <v>522838</v>
          </cell>
          <cell r="B3531" t="str">
            <v>CONSTRUCAO DA ETE - FOSSA FILTRO 100 LIGACOES - CORPO PADRAO</v>
          </cell>
          <cell r="C3531" t="str">
            <v>GB</v>
          </cell>
          <cell r="D3531">
            <v>86199.44</v>
          </cell>
        </row>
        <row r="3532">
          <cell r="A3532" t="str">
            <v>522839</v>
          </cell>
          <cell r="B3532" t="str">
            <v>CONSTRUCAO DA ETE - FOSSA FILTRO 150 LIGACOES - CORPO PADRAO</v>
          </cell>
          <cell r="C3532" t="str">
            <v>GB</v>
          </cell>
          <cell r="D3532">
            <v>115777.86</v>
          </cell>
        </row>
        <row r="3533">
          <cell r="A3533" t="str">
            <v>522840</v>
          </cell>
          <cell r="B3533" t="str">
            <v>CONSTRUCAO DA ETE - FOSSA FILTRO 200 LIGACOES - CORPO PADRAO</v>
          </cell>
          <cell r="C3533" t="str">
            <v>GB</v>
          </cell>
          <cell r="D3533">
            <v>139714.67000000001</v>
          </cell>
        </row>
        <row r="3535">
          <cell r="A3535" t="str">
            <v>522900</v>
          </cell>
          <cell r="B3535" t="str">
            <v>RESERVADO PARA SERVICOS ESPECIAIS (522901 A 522999)</v>
          </cell>
        </row>
      </sheetData>
      <sheetData sheetId="1"/>
      <sheetData sheetId="2"/>
      <sheetData sheetId="3"/>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01m"/>
      <sheetName val="01n"/>
      <sheetName val="02m"/>
      <sheetName val="02n"/>
      <sheetName val="03m"/>
      <sheetName val="03n"/>
      <sheetName val="04m"/>
      <sheetName val="04n"/>
      <sheetName val="05m"/>
      <sheetName val="05n"/>
      <sheetName val="06m"/>
      <sheetName val="06n"/>
      <sheetName val="07m"/>
      <sheetName val="07n"/>
      <sheetName val="08m"/>
      <sheetName val="08n"/>
      <sheetName val="09m"/>
      <sheetName val="09n"/>
      <sheetName val="10m"/>
      <sheetName val="10n"/>
      <sheetName val="11m"/>
      <sheetName val="11n"/>
      <sheetName val="12m"/>
      <sheetName val="12n"/>
      <sheetName val="13m"/>
      <sheetName val="13n"/>
      <sheetName val="14m"/>
      <sheetName val="14n"/>
      <sheetName val="15m"/>
      <sheetName val="15n"/>
    </sheetNames>
    <sheetDataSet>
      <sheetData sheetId="0"/>
      <sheetData sheetId="1">
        <row r="16">
          <cell r="I16">
            <v>1</v>
          </cell>
        </row>
      </sheetData>
      <sheetData sheetId="2"/>
      <sheetData sheetId="3">
        <row r="16">
          <cell r="I16">
            <v>1</v>
          </cell>
        </row>
      </sheetData>
      <sheetData sheetId="4"/>
      <sheetData sheetId="5">
        <row r="16">
          <cell r="I16">
            <v>1</v>
          </cell>
        </row>
      </sheetData>
      <sheetData sheetId="6"/>
      <sheetData sheetId="7">
        <row r="16">
          <cell r="I16">
            <v>1</v>
          </cell>
        </row>
      </sheetData>
      <sheetData sheetId="8"/>
      <sheetData sheetId="9">
        <row r="16">
          <cell r="I16">
            <v>1</v>
          </cell>
        </row>
      </sheetData>
      <sheetData sheetId="10"/>
      <sheetData sheetId="11">
        <row r="16">
          <cell r="I16">
            <v>1</v>
          </cell>
        </row>
      </sheetData>
      <sheetData sheetId="12"/>
      <sheetData sheetId="13">
        <row r="16">
          <cell r="I16">
            <v>1</v>
          </cell>
        </row>
      </sheetData>
      <sheetData sheetId="14"/>
      <sheetData sheetId="15">
        <row r="16">
          <cell r="I16">
            <v>1</v>
          </cell>
        </row>
      </sheetData>
      <sheetData sheetId="16"/>
      <sheetData sheetId="17">
        <row r="16">
          <cell r="I16">
            <v>1</v>
          </cell>
        </row>
      </sheetData>
      <sheetData sheetId="18"/>
      <sheetData sheetId="19">
        <row r="16">
          <cell r="I16">
            <v>1</v>
          </cell>
        </row>
      </sheetData>
      <sheetData sheetId="20"/>
      <sheetData sheetId="21">
        <row r="16">
          <cell r="I16">
            <v>1</v>
          </cell>
        </row>
      </sheetData>
      <sheetData sheetId="22"/>
      <sheetData sheetId="23">
        <row r="16">
          <cell r="I16">
            <v>1</v>
          </cell>
        </row>
      </sheetData>
      <sheetData sheetId="24"/>
      <sheetData sheetId="25">
        <row r="16">
          <cell r="I16">
            <v>1</v>
          </cell>
        </row>
      </sheetData>
      <sheetData sheetId="26"/>
      <sheetData sheetId="27">
        <row r="16">
          <cell r="I16">
            <v>1</v>
          </cell>
        </row>
      </sheetData>
      <sheetData sheetId="28"/>
      <sheetData sheetId="29">
        <row r="16">
          <cell r="I16">
            <v>1</v>
          </cell>
        </row>
      </sheetData>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INTÉTICO 01.02"/>
      <sheetName val="ANALÍTICO 01.02"/>
      <sheetName val="REFERÊNCIAS"/>
    </sheetNames>
    <sheetDataSet>
      <sheetData sheetId="0"/>
      <sheetData sheetId="1"/>
      <sheetData sheetId="2">
        <row r="12">
          <cell r="H12">
            <v>509.78666666666669</v>
          </cell>
        </row>
        <row r="14">
          <cell r="H14">
            <v>888.26666666666677</v>
          </cell>
        </row>
        <row r="18">
          <cell r="H18">
            <v>941.38000000000011</v>
          </cell>
        </row>
        <row r="23">
          <cell r="H23">
            <v>97.13</v>
          </cell>
        </row>
        <row r="24">
          <cell r="H24">
            <v>97.889999999999986</v>
          </cell>
        </row>
        <row r="25">
          <cell r="H25">
            <v>60.363333333333337</v>
          </cell>
        </row>
      </sheetData>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INTÉTICO 03.01"/>
      <sheetName val="ANALÍTICO 03.01"/>
      <sheetName val="REFERÊNCIAS"/>
    </sheetNames>
    <sheetDataSet>
      <sheetData sheetId="0"/>
      <sheetData sheetId="1"/>
      <sheetData sheetId="2">
        <row r="7">
          <cell r="H7">
            <v>29.656666666666666</v>
          </cell>
        </row>
        <row r="9">
          <cell r="H9">
            <v>725.66666666666663</v>
          </cell>
        </row>
        <row r="10">
          <cell r="H10">
            <v>313.63333333333333</v>
          </cell>
        </row>
        <row r="12">
          <cell r="H12">
            <v>141.39333333333335</v>
          </cell>
        </row>
        <row r="14">
          <cell r="H14">
            <v>178.68999999999997</v>
          </cell>
        </row>
        <row r="17">
          <cell r="H17">
            <v>490.30333333333328</v>
          </cell>
        </row>
        <row r="19">
          <cell r="H19">
            <v>388.2833333333333</v>
          </cell>
        </row>
        <row r="21">
          <cell r="H21">
            <v>17.993333333333336</v>
          </cell>
        </row>
        <row r="22">
          <cell r="H22">
            <v>5566.666666666667</v>
          </cell>
        </row>
        <row r="24">
          <cell r="H24">
            <v>9273.3333333333339</v>
          </cell>
        </row>
        <row r="25">
          <cell r="H25">
            <v>97.13</v>
          </cell>
        </row>
      </sheetData>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HTD"/>
      <sheetName val="HTPA"/>
      <sheetName val="OBRAS"/>
      <sheetName val="ATIV"/>
      <sheetName val="INF"/>
      <sheetName val="Plan1"/>
    </sheetNames>
    <sheetDataSet>
      <sheetData sheetId="0"/>
      <sheetData sheetId="1"/>
      <sheetData sheetId="2"/>
      <sheetData sheetId="3">
        <row r="4">
          <cell r="B4" t="str">
            <v>01</v>
          </cell>
          <cell r="C4">
            <v>1</v>
          </cell>
          <cell r="D4" t="str">
            <v>ENGENHARIA</v>
          </cell>
          <cell r="E4">
            <v>0</v>
          </cell>
          <cell r="F4" t="str">
            <v/>
          </cell>
          <cell r="G4" t="str">
            <v>000/0000</v>
          </cell>
          <cell r="H4" t="str">
            <v>000/000_COMERCIAL E LICITAÇÕES _ OP000/0000 _ ENGENHARIA</v>
          </cell>
        </row>
        <row r="5">
          <cell r="B5" t="str">
            <v>21</v>
          </cell>
          <cell r="C5">
            <v>1</v>
          </cell>
          <cell r="D5" t="str">
            <v>ENGENHARIA</v>
          </cell>
          <cell r="E5">
            <v>2</v>
          </cell>
          <cell r="F5" t="str">
            <v/>
          </cell>
          <cell r="G5" t="str">
            <v>002/0002</v>
          </cell>
          <cell r="H5" t="str">
            <v>GESTÃO ENGENHARIA _ OP002/0002 _ ENGENHARIA</v>
          </cell>
        </row>
        <row r="6">
          <cell r="B6" t="str">
            <v>1001</v>
          </cell>
          <cell r="C6">
            <v>1</v>
          </cell>
          <cell r="D6" t="str">
            <v>ENGENHARIA</v>
          </cell>
          <cell r="E6">
            <v>100</v>
          </cell>
          <cell r="F6" t="str">
            <v/>
          </cell>
          <cell r="G6" t="str">
            <v>100/0000</v>
          </cell>
          <cell r="H6" t="str">
            <v>TREINAMENTOS _ OP100/0000 _ ENGENHARIA</v>
          </cell>
        </row>
        <row r="7">
          <cell r="B7" t="str">
            <v>1731</v>
          </cell>
          <cell r="C7">
            <v>1</v>
          </cell>
          <cell r="D7" t="str">
            <v>ENGENHARIA</v>
          </cell>
          <cell r="E7">
            <v>173</v>
          </cell>
          <cell r="F7" t="str">
            <v/>
          </cell>
          <cell r="G7" t="str">
            <v>173/2019</v>
          </cell>
          <cell r="H7" t="str">
            <v>AÇÕES DE PERDAS_UBATUBA _ OP173/2019 _ ENGENHARIA</v>
          </cell>
        </row>
        <row r="8">
          <cell r="B8" t="str">
            <v>1781</v>
          </cell>
          <cell r="C8">
            <v>1</v>
          </cell>
          <cell r="D8" t="str">
            <v>ENGENHARIA</v>
          </cell>
          <cell r="E8">
            <v>178</v>
          </cell>
          <cell r="F8" t="str">
            <v/>
          </cell>
          <cell r="G8" t="str">
            <v>178/2019</v>
          </cell>
          <cell r="H8" t="str">
            <v>GERENCIAMENTO DA ETE_BARRA BONITA_SAAE _ OP178/2019 _ ENGENHARIA</v>
          </cell>
        </row>
        <row r="9">
          <cell r="B9" t="str">
            <v>1861</v>
          </cell>
          <cell r="C9">
            <v>1</v>
          </cell>
          <cell r="D9" t="str">
            <v>ENGENHARIA</v>
          </cell>
          <cell r="E9">
            <v>186</v>
          </cell>
          <cell r="F9" t="str">
            <v/>
          </cell>
          <cell r="G9" t="str">
            <v>186/2019</v>
          </cell>
          <cell r="H9" t="str">
            <v>COMBATE AS PERDAS_BARRA BONITA_SAAE _ OP186/2019 _ ENGENHARIA</v>
          </cell>
        </row>
        <row r="10">
          <cell r="B10" t="str">
            <v>1871</v>
          </cell>
          <cell r="C10">
            <v>1</v>
          </cell>
          <cell r="D10" t="str">
            <v>ENGENHARIA</v>
          </cell>
          <cell r="E10">
            <v>187</v>
          </cell>
          <cell r="F10" t="str">
            <v/>
          </cell>
          <cell r="G10" t="str">
            <v>187/2019</v>
          </cell>
          <cell r="H10" t="str">
            <v>PLANO DE MOBI. URBANA_IGARAÇU DO TIETE _ OP187/2019 _ ENGENHARIA</v>
          </cell>
        </row>
        <row r="11">
          <cell r="B11" t="str">
            <v>1881</v>
          </cell>
          <cell r="C11">
            <v>1</v>
          </cell>
          <cell r="D11" t="str">
            <v>ENGENHARIA</v>
          </cell>
          <cell r="E11">
            <v>188</v>
          </cell>
          <cell r="F11" t="str">
            <v/>
          </cell>
          <cell r="G11" t="str">
            <v>188/2020</v>
          </cell>
          <cell r="H11" t="str">
            <v>FUNASA_IGARAÇU DO TIETE _ OP188/2020 _ ENGENHARIA</v>
          </cell>
        </row>
        <row r="12">
          <cell r="B12" t="str">
            <v>1901</v>
          </cell>
          <cell r="C12">
            <v>1</v>
          </cell>
          <cell r="D12" t="str">
            <v>ENGENHARIA</v>
          </cell>
          <cell r="E12">
            <v>190</v>
          </cell>
          <cell r="F12" t="str">
            <v/>
          </cell>
          <cell r="G12" t="str">
            <v>190/2020</v>
          </cell>
          <cell r="H12" t="str">
            <v>AGUAS DE LINDOIA_190/2020_CADASTRO SIG _ OP190/2020 _ ENGENHARIA</v>
          </cell>
        </row>
        <row r="13">
          <cell r="B13" t="str">
            <v>1911</v>
          </cell>
          <cell r="C13">
            <v>1</v>
          </cell>
          <cell r="D13" t="str">
            <v>ENGENHARIA</v>
          </cell>
          <cell r="E13">
            <v>191</v>
          </cell>
          <cell r="F13" t="str">
            <v/>
          </cell>
          <cell r="G13" t="str">
            <v>191/2020</v>
          </cell>
          <cell r="H13" t="str">
            <v>IGARAÇU DO TIETE_191/2020_REDE COLETORA DE ESGOTO _ OP191/2020 _ ENGENHARIA</v>
          </cell>
        </row>
        <row r="14">
          <cell r="B14" t="str">
            <v>1931</v>
          </cell>
          <cell r="C14">
            <v>1</v>
          </cell>
          <cell r="D14" t="str">
            <v>ENGENHARIA</v>
          </cell>
          <cell r="E14">
            <v>193</v>
          </cell>
          <cell r="F14" t="str">
            <v/>
          </cell>
          <cell r="G14" t="str">
            <v>193/2020</v>
          </cell>
          <cell r="H14" t="str">
            <v>CANDIDO MOTA_193/2020_PROJETOS HIDRAULICOS _ OP193/2020 _ ENGENHARIA</v>
          </cell>
        </row>
        <row r="15">
          <cell r="B15" t="str">
            <v>1941</v>
          </cell>
          <cell r="C15">
            <v>1</v>
          </cell>
          <cell r="D15" t="str">
            <v>ENGENHARIA</v>
          </cell>
          <cell r="E15">
            <v>194</v>
          </cell>
          <cell r="F15" t="str">
            <v/>
          </cell>
          <cell r="G15" t="str">
            <v>194/2020</v>
          </cell>
          <cell r="H15" t="str">
            <v>DESCALVADO_194/2020_AÇOES DE PERDAS _ OP194/2020 _ ENGENHARIA</v>
          </cell>
        </row>
        <row r="16">
          <cell r="B16" t="str">
            <v>1951</v>
          </cell>
          <cell r="C16">
            <v>1</v>
          </cell>
          <cell r="D16" t="str">
            <v>ENGENHARIA</v>
          </cell>
          <cell r="E16">
            <v>195</v>
          </cell>
          <cell r="F16" t="str">
            <v/>
          </cell>
          <cell r="G16" t="str">
            <v>195/2020</v>
          </cell>
          <cell r="H16" t="str">
            <v>GUARANTA_195/2020_AÇOES DE PERDAS _ OP195/2020 _ ENGENHARIA</v>
          </cell>
        </row>
        <row r="17">
          <cell r="B17" t="str">
            <v>1961</v>
          </cell>
          <cell r="C17">
            <v>1</v>
          </cell>
          <cell r="D17" t="str">
            <v>ENGENHARIA</v>
          </cell>
          <cell r="E17">
            <v>196</v>
          </cell>
          <cell r="F17" t="str">
            <v/>
          </cell>
          <cell r="G17" t="str">
            <v>196/2020</v>
          </cell>
          <cell r="H17" t="str">
            <v>GUATAPARA_196/2020_SETORIZAÇÃO_SAAE _ OP196/2020 _ ENGENHARIA</v>
          </cell>
        </row>
        <row r="18">
          <cell r="B18" t="str">
            <v>1971</v>
          </cell>
          <cell r="C18">
            <v>1</v>
          </cell>
          <cell r="D18" t="str">
            <v>ENGENHARIA</v>
          </cell>
          <cell r="E18">
            <v>197</v>
          </cell>
          <cell r="F18" t="str">
            <v/>
          </cell>
          <cell r="G18" t="str">
            <v>197/2020</v>
          </cell>
          <cell r="H18" t="str">
            <v>CANDIDO MOTA_197/2020_AÇOES DE PERDAS _ OP197/2020 _ ENGENHARIA</v>
          </cell>
        </row>
        <row r="19">
          <cell r="B19" t="str">
            <v>1981</v>
          </cell>
          <cell r="C19">
            <v>1</v>
          </cell>
          <cell r="D19" t="str">
            <v>ENGENHARIA</v>
          </cell>
          <cell r="E19">
            <v>198</v>
          </cell>
          <cell r="F19" t="str">
            <v/>
          </cell>
          <cell r="G19" t="str">
            <v>198/2020</v>
          </cell>
          <cell r="H19" t="str">
            <v>POMPEIA_HIDROMETRIA _ OP198/2020 _ ENGENHARIA</v>
          </cell>
        </row>
        <row r="20">
          <cell r="B20" t="str">
            <v>1991</v>
          </cell>
          <cell r="C20">
            <v>1</v>
          </cell>
          <cell r="D20" t="str">
            <v>ENGENHARIA</v>
          </cell>
          <cell r="E20">
            <v>199</v>
          </cell>
          <cell r="F20" t="str">
            <v/>
          </cell>
          <cell r="G20" t="str">
            <v>199/2020</v>
          </cell>
          <cell r="H20" t="str">
            <v>SAO JOSE DO RIO PRETO_MACRO E MICRO _ OP199/2020 _ ENGENHARIA</v>
          </cell>
        </row>
        <row r="21">
          <cell r="B21" t="str">
            <v>2001</v>
          </cell>
          <cell r="C21">
            <v>1</v>
          </cell>
          <cell r="D21" t="str">
            <v>ENGENHARIA</v>
          </cell>
          <cell r="E21">
            <v>200</v>
          </cell>
          <cell r="F21" t="str">
            <v/>
          </cell>
          <cell r="G21" t="str">
            <v>200/2020</v>
          </cell>
          <cell r="H21" t="str">
            <v>ITU_ELABORAÇÃO DE CADASTRO _ OP200/2020 _ ENGENHARIA</v>
          </cell>
        </row>
        <row r="22">
          <cell r="B22" t="str">
            <v>2011</v>
          </cell>
          <cell r="C22">
            <v>1</v>
          </cell>
          <cell r="D22" t="str">
            <v>ENGENHARIA</v>
          </cell>
          <cell r="E22">
            <v>201</v>
          </cell>
          <cell r="F22" t="str">
            <v/>
          </cell>
          <cell r="G22" t="str">
            <v>201/2020</v>
          </cell>
          <cell r="H22" t="str">
            <v>BROTAS_MEDIÇAO PRESSAO _ OP201/2020 _ ENGENHARIA</v>
          </cell>
        </row>
        <row r="23">
          <cell r="B23" t="str">
            <v>2031</v>
          </cell>
          <cell r="C23">
            <v>1</v>
          </cell>
          <cell r="D23" t="str">
            <v>ENGENHARIA</v>
          </cell>
          <cell r="E23">
            <v>203</v>
          </cell>
          <cell r="F23" t="str">
            <v/>
          </cell>
          <cell r="G23" t="str">
            <v>203/2020</v>
          </cell>
          <cell r="H23" t="str">
            <v>SAO JOSE DOS CAMPOS_INST. E FORN. MACROMEDIDORES _ OP203/2020 _ ENGENHARIA</v>
          </cell>
        </row>
        <row r="24">
          <cell r="B24" t="str">
            <v>2051</v>
          </cell>
          <cell r="C24">
            <v>1</v>
          </cell>
          <cell r="D24" t="str">
            <v>ENGENHARIA</v>
          </cell>
          <cell r="E24">
            <v>205</v>
          </cell>
          <cell r="F24" t="str">
            <v/>
          </cell>
          <cell r="G24" t="str">
            <v>205/2020</v>
          </cell>
          <cell r="H24" t="str">
            <v>BROTAS_PROJ ETE MARGEM ESQUERDA _ OP205/2020 _ ENGENHARIA</v>
          </cell>
        </row>
        <row r="25">
          <cell r="B25" t="str">
            <v>2052</v>
          </cell>
          <cell r="C25">
            <v>2</v>
          </cell>
          <cell r="D25" t="str">
            <v>ENGENHARIA</v>
          </cell>
          <cell r="E25">
            <v>205</v>
          </cell>
          <cell r="F25" t="str">
            <v/>
          </cell>
          <cell r="G25" t="str">
            <v>205/2020</v>
          </cell>
          <cell r="H25" t="str">
            <v>BROTAS_PROJ ETE MARGEM ESQUERDA _ OP205/2020 _ ENGENHARIA</v>
          </cell>
        </row>
        <row r="26">
          <cell r="B26" t="str">
            <v>2061</v>
          </cell>
          <cell r="C26">
            <v>1</v>
          </cell>
          <cell r="D26" t="str">
            <v>ENGENHARIA</v>
          </cell>
          <cell r="E26">
            <v>206</v>
          </cell>
          <cell r="F26" t="str">
            <v/>
          </cell>
          <cell r="G26" t="str">
            <v>206/2020</v>
          </cell>
          <cell r="H26" t="str">
            <v>JULIO_MESQUITA HIDROMETRIA _ OP206/2020 _ ENGENHARIA</v>
          </cell>
        </row>
        <row r="27">
          <cell r="B27" t="str">
            <v>2121</v>
          </cell>
          <cell r="C27">
            <v>1</v>
          </cell>
          <cell r="D27" t="str">
            <v>ENGENHARIA</v>
          </cell>
          <cell r="E27">
            <v>212</v>
          </cell>
          <cell r="F27" t="str">
            <v/>
          </cell>
          <cell r="G27" t="str">
            <v>212/2021</v>
          </cell>
          <cell r="H27" t="str">
            <v>REGINÓPOLIS_AÇÕES DE PERDAS _ OP212/2021 _ ENGENHARIA</v>
          </cell>
        </row>
        <row r="28">
          <cell r="B28" t="str">
            <v>2131</v>
          </cell>
          <cell r="C28">
            <v>1</v>
          </cell>
          <cell r="D28" t="str">
            <v>ENGENHARIA</v>
          </cell>
          <cell r="E28">
            <v>213</v>
          </cell>
          <cell r="F28" t="str">
            <v/>
          </cell>
          <cell r="G28" t="str">
            <v>213/2021</v>
          </cell>
          <cell r="H28" t="str">
            <v>SALES_OLIVEIRA AÇÕES DE PERDAS _ OP213/2021 _ ENGENHARIA</v>
          </cell>
        </row>
        <row r="29">
          <cell r="B29" t="str">
            <v>2151</v>
          </cell>
          <cell r="C29">
            <v>1</v>
          </cell>
          <cell r="D29" t="str">
            <v>ENGENHARIA</v>
          </cell>
          <cell r="E29">
            <v>215</v>
          </cell>
          <cell r="F29" t="str">
            <v/>
          </cell>
          <cell r="G29" t="str">
            <v>215/2021</v>
          </cell>
          <cell r="H29" t="str">
            <v>BROTAS_PROJET. RESERV FUNASA STA CECÍLIA _ OP215/2021 _ ENGENHARIA</v>
          </cell>
        </row>
        <row r="30">
          <cell r="B30" t="str">
            <v>2161</v>
          </cell>
          <cell r="C30">
            <v>1</v>
          </cell>
          <cell r="D30" t="str">
            <v>ENGENHARIA</v>
          </cell>
          <cell r="E30">
            <v>216</v>
          </cell>
          <cell r="F30" t="str">
            <v/>
          </cell>
          <cell r="G30" t="str">
            <v>216/2021</v>
          </cell>
          <cell r="H30" t="str">
            <v>CABREÚVA_OBRAS REDES HIDRÁULICAS _ OP216/2021 _ ENGENHARIA</v>
          </cell>
        </row>
        <row r="31">
          <cell r="B31" t="str">
            <v>2171</v>
          </cell>
          <cell r="C31">
            <v>1</v>
          </cell>
          <cell r="D31" t="str">
            <v>ENGENHARIA</v>
          </cell>
          <cell r="E31">
            <v>217</v>
          </cell>
          <cell r="F31" t="str">
            <v/>
          </cell>
          <cell r="G31" t="str">
            <v>217/2021</v>
          </cell>
          <cell r="H31" t="str">
            <v>GUARULHOS_ESTUDOS HIDRAULICOS _ OP217/2021 _ ENGENHARIA</v>
          </cell>
        </row>
        <row r="32">
          <cell r="B32" t="str">
            <v>2181</v>
          </cell>
          <cell r="C32">
            <v>1</v>
          </cell>
          <cell r="D32" t="str">
            <v>ENGENHARIA</v>
          </cell>
          <cell r="E32">
            <v>218</v>
          </cell>
          <cell r="F32" t="str">
            <v/>
          </cell>
          <cell r="G32" t="str">
            <v>218/2021</v>
          </cell>
          <cell r="H32" t="str">
            <v>SÃO CARLOS_SAAE SUBSTITUIÇÃO DE REDES _ OP218/2021 _ ENGENHARIA</v>
          </cell>
        </row>
        <row r="33">
          <cell r="B33" t="str">
            <v>2191</v>
          </cell>
          <cell r="C33">
            <v>1</v>
          </cell>
          <cell r="D33" t="str">
            <v>ENGENHARIA</v>
          </cell>
          <cell r="E33">
            <v>219</v>
          </cell>
          <cell r="F33" t="str">
            <v/>
          </cell>
          <cell r="G33" t="str">
            <v>219/2021</v>
          </cell>
          <cell r="H33" t="str">
            <v>DESCALVADO _PM AÇÕES DE PERDAS _ OP219/2021 _ ENGENHARIA</v>
          </cell>
        </row>
        <row r="34">
          <cell r="B34" t="str">
            <v>2201</v>
          </cell>
          <cell r="C34">
            <v>1</v>
          </cell>
          <cell r="D34" t="str">
            <v>ENGENHARIA</v>
          </cell>
          <cell r="E34">
            <v>220</v>
          </cell>
          <cell r="F34" t="str">
            <v/>
          </cell>
          <cell r="G34" t="str">
            <v>220/2022</v>
          </cell>
          <cell r="H34" t="str">
            <v>LINDÓIA_PM - somente custos comerciais _ OP220/2022 _ ENGENHARIA</v>
          </cell>
        </row>
        <row r="35">
          <cell r="B35" t="str">
            <v>2211</v>
          </cell>
          <cell r="C35">
            <v>1</v>
          </cell>
          <cell r="D35" t="str">
            <v>ENGENHARIA</v>
          </cell>
          <cell r="E35">
            <v>221</v>
          </cell>
          <cell r="F35" t="str">
            <v/>
          </cell>
          <cell r="G35" t="str">
            <v>221/2022</v>
          </cell>
          <cell r="H35" t="str">
            <v>CÂNDIDO MOTA_SAAE AÇÕES DE PERDAS _ OP221/2022 _ ENGENHARIA</v>
          </cell>
        </row>
        <row r="36">
          <cell r="B36" t="str">
            <v>2221</v>
          </cell>
          <cell r="C36">
            <v>1</v>
          </cell>
          <cell r="D36" t="str">
            <v>ENGENHARIA</v>
          </cell>
          <cell r="E36">
            <v>222</v>
          </cell>
          <cell r="F36" t="str">
            <v/>
          </cell>
          <cell r="G36" t="str">
            <v>222/2022</v>
          </cell>
          <cell r="H36" t="str">
            <v>SÃO PEDRO_SAAESP MANUTENÇÃO REMOTA _ OP222/2022 _ ENGENHARIA</v>
          </cell>
        </row>
        <row r="37">
          <cell r="B37" t="str">
            <v>2231</v>
          </cell>
          <cell r="C37">
            <v>1</v>
          </cell>
          <cell r="D37" t="str">
            <v>ENGENHARIA</v>
          </cell>
          <cell r="E37">
            <v>223</v>
          </cell>
          <cell r="F37" t="str">
            <v/>
          </cell>
          <cell r="G37" t="str">
            <v>223/2022</v>
          </cell>
          <cell r="H37" t="str">
            <v>BROTAS_SAAEB PROJ. RESERVATÓRIO BAIRO STA CECÍLIA _ OP223/2022 _ ENGENHARIA</v>
          </cell>
        </row>
        <row r="38">
          <cell r="B38" t="str">
            <v>2241</v>
          </cell>
          <cell r="C38">
            <v>1</v>
          </cell>
          <cell r="D38" t="str">
            <v>ENGENHARIA</v>
          </cell>
          <cell r="E38">
            <v>224</v>
          </cell>
          <cell r="F38" t="str">
            <v/>
          </cell>
          <cell r="G38" t="str">
            <v>224/2021</v>
          </cell>
          <cell r="H38" t="str">
            <v>GUATAPARÁ_PROJ._POÇO_PROFUNDO_FUNASA _ OP224/2021 _ ENGENHARIA</v>
          </cell>
        </row>
        <row r="39">
          <cell r="B39" t="str">
            <v>2251</v>
          </cell>
          <cell r="C39">
            <v>1</v>
          </cell>
          <cell r="D39" t="str">
            <v>ENGENHARIA</v>
          </cell>
          <cell r="E39">
            <v>225</v>
          </cell>
          <cell r="F39" t="str">
            <v/>
          </cell>
          <cell r="G39" t="str">
            <v>225/2021</v>
          </cell>
          <cell r="H39" t="str">
            <v>ITAPIRA_MACROMEDIÇÃO _ OP225/2021 _ ENGENHARIA</v>
          </cell>
        </row>
        <row r="40">
          <cell r="B40" t="str">
            <v>2261</v>
          </cell>
          <cell r="C40">
            <v>1</v>
          </cell>
          <cell r="D40" t="str">
            <v>ENGENHARIA</v>
          </cell>
          <cell r="E40">
            <v>226</v>
          </cell>
          <cell r="F40" t="str">
            <v/>
          </cell>
          <cell r="G40" t="str">
            <v>226/2021</v>
          </cell>
          <cell r="H40" t="str">
            <v>CABREUVA_PROJ RESERV _ OP226/2021 _ ENGENHARIA</v>
          </cell>
        </row>
        <row r="41">
          <cell r="B41" t="str">
            <v>2271</v>
          </cell>
          <cell r="C41">
            <v>1</v>
          </cell>
          <cell r="D41" t="str">
            <v>ENGENHARIA</v>
          </cell>
          <cell r="E41">
            <v>227</v>
          </cell>
          <cell r="F41" t="str">
            <v/>
          </cell>
          <cell r="G41" t="str">
            <v>227/2021</v>
          </cell>
          <cell r="H41" t="str">
            <v>AMERICO BRASILIENSE_PROJ RESERVATORIO _ OP227/2021 _ ENGENHARIA</v>
          </cell>
        </row>
        <row r="42">
          <cell r="B42" t="str">
            <v>2281</v>
          </cell>
          <cell r="C42">
            <v>1</v>
          </cell>
          <cell r="D42" t="str">
            <v>ENGENHARIA</v>
          </cell>
          <cell r="E42">
            <v>228</v>
          </cell>
          <cell r="F42" t="str">
            <v/>
          </cell>
          <cell r="G42" t="str">
            <v>228/2021</v>
          </cell>
          <cell r="H42" t="str">
            <v>IBITINGA_MACROMEDIÇÃO _ OP228/2021 _ ENGENHARIA</v>
          </cell>
        </row>
        <row r="43">
          <cell r="B43" t="str">
            <v>2291</v>
          </cell>
          <cell r="C43">
            <v>1</v>
          </cell>
          <cell r="D43" t="str">
            <v>ENGENHARIA</v>
          </cell>
          <cell r="E43">
            <v>229</v>
          </cell>
          <cell r="F43" t="str">
            <v/>
          </cell>
          <cell r="G43" t="str">
            <v>229/2022</v>
          </cell>
          <cell r="H43" t="str">
            <v>BROTAS_SAAEB_ GER. PROJETOS _ OP229/2022 _ ENGENHARIA</v>
          </cell>
        </row>
        <row r="44">
          <cell r="B44" t="str">
            <v>2301</v>
          </cell>
          <cell r="C44">
            <v>1</v>
          </cell>
          <cell r="D44" t="str">
            <v>ENGENHARIA</v>
          </cell>
          <cell r="E44">
            <v>230</v>
          </cell>
          <cell r="F44" t="str">
            <v/>
          </cell>
          <cell r="G44" t="str">
            <v>230/2022</v>
          </cell>
          <cell r="H44" t="str">
            <v>BARRA BONITA_AUTOMAÇÃO ETE _ OP230/2022 _ ENGENHARIA</v>
          </cell>
        </row>
        <row r="45">
          <cell r="B45" t="str">
            <v>2311</v>
          </cell>
          <cell r="C45">
            <v>1</v>
          </cell>
          <cell r="D45" t="str">
            <v>ENGENHARIA</v>
          </cell>
          <cell r="E45">
            <v>231</v>
          </cell>
          <cell r="F45" t="str">
            <v/>
          </cell>
          <cell r="G45" t="str">
            <v>231/2022</v>
          </cell>
          <cell r="H45" t="str">
            <v>VARGEM GRANDE SO SUL_PROJ FEHIDRO _ OP231/2022 _ ENGENHARIA</v>
          </cell>
        </row>
        <row r="46">
          <cell r="B46" t="str">
            <v>2321</v>
          </cell>
          <cell r="C46">
            <v>1</v>
          </cell>
          <cell r="D46" t="str">
            <v>ENGENHARIA</v>
          </cell>
          <cell r="E46">
            <v>232</v>
          </cell>
          <cell r="F46" t="str">
            <v/>
          </cell>
          <cell r="G46" t="str">
            <v>232/2022</v>
          </cell>
          <cell r="H46" t="str">
            <v>GUARULHOS_BTG _ OP232/2022 _ ENGENHARIA</v>
          </cell>
        </row>
        <row r="47">
          <cell r="B47" t="str">
            <v>2331</v>
          </cell>
          <cell r="C47">
            <v>1</v>
          </cell>
          <cell r="D47" t="str">
            <v>ENGENHARIA</v>
          </cell>
          <cell r="E47">
            <v>233</v>
          </cell>
          <cell r="F47" t="str">
            <v/>
          </cell>
          <cell r="G47" t="str">
            <v>233/2022</v>
          </cell>
          <cell r="H47" t="str">
            <v>MENDONÇA_AÇÕES DE PERDA _ OP233/2022 _ ENGENHARIA</v>
          </cell>
        </row>
        <row r="48">
          <cell r="B48" t="str">
            <v>2341</v>
          </cell>
          <cell r="C48">
            <v>1</v>
          </cell>
          <cell r="D48" t="str">
            <v>ENGENHARIA</v>
          </cell>
          <cell r="E48">
            <v>234</v>
          </cell>
          <cell r="F48" t="str">
            <v/>
          </cell>
          <cell r="G48" t="str">
            <v>234/2022</v>
          </cell>
          <cell r="H48" t="str">
            <v>CORDEIRÓPOLIS_MACROMEDIAÇÃO E AUTOMAÇÃO _ OP234/2022 _ ENGENHARIA</v>
          </cell>
        </row>
        <row r="49">
          <cell r="B49" t="str">
            <v>2351</v>
          </cell>
          <cell r="C49">
            <v>1</v>
          </cell>
          <cell r="D49" t="str">
            <v>ENGENHARIA</v>
          </cell>
          <cell r="E49">
            <v>235</v>
          </cell>
          <cell r="F49" t="str">
            <v/>
          </cell>
          <cell r="G49" t="str">
            <v>235/2022</v>
          </cell>
          <cell r="H49" t="str">
            <v>DESCALVADO_HIDROMETRIA _ OP235/2022 _ ENGENHARIA</v>
          </cell>
        </row>
        <row r="50">
          <cell r="B50" t="str">
            <v>2361</v>
          </cell>
          <cell r="C50">
            <v>1</v>
          </cell>
          <cell r="D50" t="str">
            <v>ENGENHARIA</v>
          </cell>
          <cell r="E50">
            <v>236</v>
          </cell>
          <cell r="F50" t="str">
            <v/>
          </cell>
          <cell r="G50" t="str">
            <v>236/2022</v>
          </cell>
          <cell r="H50" t="str">
            <v>ITAJOBI_ACOES DE PERDAS FASE 1 _ OP236/2022 _ ENGENHARIA</v>
          </cell>
        </row>
        <row r="51">
          <cell r="B51" t="str">
            <v>2371</v>
          </cell>
          <cell r="C51">
            <v>1</v>
          </cell>
          <cell r="D51" t="str">
            <v>ENGENHARIA</v>
          </cell>
          <cell r="E51">
            <v>237</v>
          </cell>
          <cell r="F51" t="str">
            <v/>
          </cell>
          <cell r="G51" t="str">
            <v>237/2022</v>
          </cell>
          <cell r="H51" t="str">
            <v>CANDIDO MOTA_READEQUACAO DE REDE _ OP237/2022 _ ENGENHARIA</v>
          </cell>
        </row>
        <row r="52">
          <cell r="B52" t="str">
            <v>2381</v>
          </cell>
          <cell r="C52">
            <v>1</v>
          </cell>
          <cell r="D52" t="str">
            <v>ENGENHARIA</v>
          </cell>
          <cell r="E52">
            <v>238</v>
          </cell>
          <cell r="F52" t="str">
            <v/>
          </cell>
          <cell r="G52" t="str">
            <v>238/2022</v>
          </cell>
          <cell r="H52" t="str">
            <v>DRACENA_COMBATE AS PERDAS_HIDROMETRIA _ OP238/2022 _ ENGENHARIA</v>
          </cell>
        </row>
        <row r="53">
          <cell r="B53" t="str">
            <v>2391</v>
          </cell>
          <cell r="C53">
            <v>1</v>
          </cell>
          <cell r="D53" t="str">
            <v>ENGENHARIA</v>
          </cell>
          <cell r="E53">
            <v>239</v>
          </cell>
          <cell r="F53" t="str">
            <v/>
          </cell>
          <cell r="G53" t="str">
            <v>239/2022</v>
          </cell>
          <cell r="H53" t="str">
            <v>PALMITAL_COMBATE AS PERDAS _ OP239/2022 _ ENGENHARIA</v>
          </cell>
        </row>
        <row r="54">
          <cell r="B54" t="str">
            <v>2401</v>
          </cell>
          <cell r="C54">
            <v>1</v>
          </cell>
          <cell r="D54" t="str">
            <v>ENGENHARIA</v>
          </cell>
          <cell r="E54">
            <v>240</v>
          </cell>
          <cell r="F54" t="str">
            <v/>
          </cell>
          <cell r="G54" t="str">
            <v>240/2022</v>
          </cell>
          <cell r="H54" t="str">
            <v>ELISIARIO_PROJ READEQUACAO ETE _ OP240/2022 _ ENGENHARIA</v>
          </cell>
        </row>
        <row r="55">
          <cell r="B55" t="str">
            <v>2411</v>
          </cell>
          <cell r="C55">
            <v>1</v>
          </cell>
          <cell r="D55" t="str">
            <v>ENGENHARIA</v>
          </cell>
          <cell r="E55">
            <v>241</v>
          </cell>
          <cell r="F55" t="str">
            <v/>
          </cell>
          <cell r="G55" t="str">
            <v>241/2022</v>
          </cell>
          <cell r="H55" t="str">
            <v>PIRAJUI_SETORIZACAO E ACAO DE PERDAS _ OP241/2022 _ ENGENHARIA</v>
          </cell>
        </row>
        <row r="56">
          <cell r="B56" t="str">
            <v>2421</v>
          </cell>
          <cell r="C56">
            <v>1</v>
          </cell>
          <cell r="D56" t="str">
            <v>ENGENHARIA</v>
          </cell>
          <cell r="E56">
            <v>242</v>
          </cell>
          <cell r="F56" t="str">
            <v/>
          </cell>
          <cell r="G56" t="str">
            <v>242/2022</v>
          </cell>
          <cell r="H56" t="str">
            <v>ITAPOLIS_SETORIZACAO 3 E 4 _ OP242/2022 _ ENGENHARIA</v>
          </cell>
        </row>
        <row r="57">
          <cell r="B57" t="str">
            <v>2431</v>
          </cell>
          <cell r="C57">
            <v>1</v>
          </cell>
          <cell r="D57" t="str">
            <v>ENGENHARIA</v>
          </cell>
          <cell r="E57">
            <v>243</v>
          </cell>
          <cell r="F57" t="str">
            <v/>
          </cell>
          <cell r="G57" t="str">
            <v>243/2022</v>
          </cell>
          <cell r="H57" t="str">
            <v>VARGEM GRANDE SO SUL_DOC TECNICA _ OP243/2022 _ ENGENHARIA</v>
          </cell>
        </row>
        <row r="58">
          <cell r="B58" t="str">
            <v>2441</v>
          </cell>
          <cell r="C58">
            <v>1</v>
          </cell>
          <cell r="D58" t="str">
            <v>ENGENHARIA</v>
          </cell>
          <cell r="E58">
            <v>244</v>
          </cell>
          <cell r="F58" t="str">
            <v/>
          </cell>
          <cell r="G58" t="str">
            <v>244/2022</v>
          </cell>
          <cell r="H58" t="str">
            <v>ANALANDIA_DIAGNOSTICO DE RESERVATORIO _ OP244/2022 _ ENGENHARIA</v>
          </cell>
        </row>
        <row r="59">
          <cell r="B59" t="str">
            <v>2451</v>
          </cell>
          <cell r="C59">
            <v>1</v>
          </cell>
          <cell r="D59" t="str">
            <v>ENGENHARIA</v>
          </cell>
          <cell r="E59">
            <v>245</v>
          </cell>
          <cell r="F59" t="str">
            <v/>
          </cell>
          <cell r="G59" t="str">
            <v>245/2022</v>
          </cell>
          <cell r="H59" t="str">
            <v>CORDEIROPOLIS_READEQUACAO_AUT_RESERV _ OP245/2022 _ ENGENHARIA</v>
          </cell>
        </row>
        <row r="60">
          <cell r="B60" t="str">
            <v>2461</v>
          </cell>
          <cell r="C60">
            <v>1</v>
          </cell>
          <cell r="D60" t="str">
            <v>ENGENHARIA</v>
          </cell>
          <cell r="E60">
            <v>246</v>
          </cell>
          <cell r="F60" t="str">
            <v/>
          </cell>
          <cell r="G60" t="str">
            <v>246/2022</v>
          </cell>
          <cell r="H60" t="str">
            <v>BARRA BONITA_PROJE EST ELEV ESGOTO _ OP246/2022 _ ENGENHARIA</v>
          </cell>
        </row>
        <row r="61">
          <cell r="B61" t="str">
            <v>2471</v>
          </cell>
          <cell r="C61">
            <v>1</v>
          </cell>
          <cell r="D61" t="str">
            <v>ENGENHARIA</v>
          </cell>
          <cell r="E61">
            <v>247</v>
          </cell>
          <cell r="F61" t="str">
            <v/>
          </cell>
          <cell r="G61" t="str">
            <v>247/2022</v>
          </cell>
          <cell r="H61" t="str">
            <v>SAO SIMAO_MACROMEDICAO E REFORMA RESERV _ OP247/2022 _ ENGENHARIA</v>
          </cell>
        </row>
        <row r="62">
          <cell r="B62" t="str">
            <v>2481</v>
          </cell>
          <cell r="C62">
            <v>1</v>
          </cell>
          <cell r="D62" t="str">
            <v>ENGENHARIA</v>
          </cell>
          <cell r="E62">
            <v>248</v>
          </cell>
          <cell r="F62" t="str">
            <v/>
          </cell>
          <cell r="G62" t="str">
            <v>248/2022</v>
          </cell>
          <cell r="H62" t="str">
            <v>LINDÓIA_PM_CONSORCIO EFICIÊNCIA _ OP248/2022 _ ENGENHARIA</v>
          </cell>
        </row>
        <row r="63">
          <cell r="B63" t="str">
            <v>2491</v>
          </cell>
          <cell r="C63">
            <v>1</v>
          </cell>
          <cell r="D63" t="str">
            <v>ENGENHARIA</v>
          </cell>
          <cell r="E63">
            <v>249</v>
          </cell>
          <cell r="F63" t="str">
            <v/>
          </cell>
          <cell r="G63" t="str">
            <v>249/2022</v>
          </cell>
          <cell r="H63" t="str">
            <v>SANTA BARBARA D OESTE_PLANO DIRETOR COM AS PERDAS _ OP249/2022 _ ENGENHARIA</v>
          </cell>
        </row>
        <row r="64">
          <cell r="B64" t="str">
            <v>2501</v>
          </cell>
          <cell r="C64">
            <v>1</v>
          </cell>
          <cell r="D64" t="str">
            <v>ENGENHARIA</v>
          </cell>
          <cell r="E64">
            <v>250</v>
          </cell>
          <cell r="F64" t="str">
            <v/>
          </cell>
          <cell r="G64" t="str">
            <v>250/2022</v>
          </cell>
          <cell r="H64" t="str">
            <v>ITAPOLIS_250_DIAGNOSTICO DA ETE E EEE _ OP250/2022 _ ENGENHARIA</v>
          </cell>
        </row>
        <row r="65">
          <cell r="B65" t="str">
            <v>2511</v>
          </cell>
          <cell r="C65">
            <v>1</v>
          </cell>
          <cell r="D65" t="str">
            <v>ENGENHARIA</v>
          </cell>
          <cell r="E65">
            <v>251</v>
          </cell>
          <cell r="F65" t="str">
            <v/>
          </cell>
          <cell r="G65" t="str">
            <v>251/2022</v>
          </cell>
          <cell r="H65" t="str">
            <v>GUARULHO_251_ACOMPANHAMENTO DE OBRA _ OP251/2022 _ ENGENHARIA</v>
          </cell>
        </row>
        <row r="66">
          <cell r="B66" t="str">
            <v>2521</v>
          </cell>
          <cell r="C66">
            <v>1</v>
          </cell>
          <cell r="D66" t="str">
            <v>ENGENHARIA</v>
          </cell>
          <cell r="E66">
            <v>252</v>
          </cell>
          <cell r="F66" t="str">
            <v/>
          </cell>
          <cell r="G66" t="str">
            <v>252/2022</v>
          </cell>
          <cell r="H66" t="str">
            <v>BARRA BONITA_252_REFORMA DA EEE SONHO NOSSO _ OP252/2022 _ ENGENHARIA</v>
          </cell>
        </row>
        <row r="67">
          <cell r="B67" t="str">
            <v>2531</v>
          </cell>
          <cell r="C67">
            <v>1</v>
          </cell>
          <cell r="D67" t="str">
            <v>ENGENHARIA</v>
          </cell>
          <cell r="E67">
            <v>253</v>
          </cell>
          <cell r="F67" t="str">
            <v/>
          </cell>
          <cell r="G67" t="str">
            <v>253/2022</v>
          </cell>
          <cell r="H67" t="str">
            <v>CORDEIRÓPOLIS _PLANO DE PERDAS _ OP253/2022 _ ENGENHARIA</v>
          </cell>
        </row>
        <row r="68">
          <cell r="B68" t="str">
            <v>2541</v>
          </cell>
          <cell r="C68">
            <v>1</v>
          </cell>
          <cell r="D68" t="str">
            <v>ENGENHARIA</v>
          </cell>
          <cell r="E68">
            <v>254</v>
          </cell>
          <cell r="F68" t="str">
            <v/>
          </cell>
          <cell r="G68" t="str">
            <v>254/2022</v>
          </cell>
          <cell r="H68" t="str">
            <v>GUARANTA_SUBSTITUIÇÃO DE REDES _ OP254/2022 _ ENGENHARIA</v>
          </cell>
        </row>
        <row r="69">
          <cell r="B69" t="str">
            <v>1491</v>
          </cell>
          <cell r="C69">
            <v>1</v>
          </cell>
          <cell r="D69" t="str">
            <v>ENGENHARIA</v>
          </cell>
          <cell r="E69">
            <v>149</v>
          </cell>
          <cell r="F69" t="str">
            <v/>
          </cell>
          <cell r="G69" t="str">
            <v>255/2022</v>
          </cell>
          <cell r="H69" t="str">
            <v>CERQUILHO_PROJ FEHIDRO _ OP255/2022 _ ENGENHARIA</v>
          </cell>
        </row>
        <row r="70">
          <cell r="B70" t="str">
            <v>1891</v>
          </cell>
          <cell r="C70">
            <v>1</v>
          </cell>
          <cell r="D70" t="str">
            <v>ENGENHARIA</v>
          </cell>
          <cell r="E70">
            <v>189</v>
          </cell>
          <cell r="F70" t="str">
            <v/>
          </cell>
          <cell r="G70" t="str">
            <v>256/2022</v>
          </cell>
          <cell r="H70" t="str">
            <v>JARDINOPOLIS_MANUTENCAO VEGETAL _ OP256/2022 _ ENGENHARIA</v>
          </cell>
        </row>
        <row r="71">
          <cell r="B71" t="str">
            <v>2021</v>
          </cell>
          <cell r="C71">
            <v>1</v>
          </cell>
          <cell r="D71" t="str">
            <v>ENGENHARIA</v>
          </cell>
          <cell r="E71">
            <v>202</v>
          </cell>
          <cell r="F71" t="str">
            <v/>
          </cell>
          <cell r="G71" t="str">
            <v>257/2022</v>
          </cell>
          <cell r="H71" t="str">
            <v>PIRASSUNUNGA_GEREN ABASTECIMENTO DE AGUA _ OP257/2022 _ ENGENHARIA</v>
          </cell>
        </row>
        <row r="72">
          <cell r="B72" t="str">
            <v>2041</v>
          </cell>
          <cell r="C72">
            <v>1</v>
          </cell>
          <cell r="D72" t="str">
            <v>ENGENHARIA</v>
          </cell>
          <cell r="E72">
            <v>204</v>
          </cell>
          <cell r="F72" t="str">
            <v/>
          </cell>
          <cell r="G72" t="str">
            <v>258/2022</v>
          </cell>
          <cell r="H72" t="str">
            <v>VARGEM GRANDE DO SUL_ANALISE TECNICA _ OP258/2022 _ ENGENHARIA</v>
          </cell>
        </row>
        <row r="73">
          <cell r="B73" t="str">
            <v>9991</v>
          </cell>
          <cell r="C73">
            <v>1</v>
          </cell>
          <cell r="D73" t="str">
            <v>ENGENHARIA</v>
          </cell>
          <cell r="E73">
            <v>999</v>
          </cell>
          <cell r="F73" t="str">
            <v/>
          </cell>
          <cell r="G73" t="str">
            <v>999/0000</v>
          </cell>
          <cell r="H73" t="str">
            <v>999/0000_OUTRAS ATIVIDADES _ OP999/0000 _ ENGENHARIA</v>
          </cell>
        </row>
        <row r="74">
          <cell r="B74" t="str">
            <v>1481</v>
          </cell>
          <cell r="C74">
            <v>1</v>
          </cell>
          <cell r="D74" t="str">
            <v>ENGENHARIA</v>
          </cell>
          <cell r="E74">
            <v>148</v>
          </cell>
          <cell r="F74">
            <v>1</v>
          </cell>
          <cell r="G74" t="e">
            <v>#N/A</v>
          </cell>
          <cell r="H74" t="e">
            <v>#N/A</v>
          </cell>
        </row>
        <row r="75">
          <cell r="B75" t="str">
            <v>1821</v>
          </cell>
          <cell r="C75">
            <v>1</v>
          </cell>
          <cell r="D75" t="str">
            <v>ENGENHARIA</v>
          </cell>
          <cell r="E75">
            <v>182</v>
          </cell>
          <cell r="F75">
            <v>1</v>
          </cell>
          <cell r="G75" t="e">
            <v>#N/A</v>
          </cell>
          <cell r="H75" t="e">
            <v>#N/A</v>
          </cell>
        </row>
        <row r="76">
          <cell r="B76" t="str">
            <v/>
          </cell>
          <cell r="C76">
            <v>0</v>
          </cell>
          <cell r="D76">
            <v>0</v>
          </cell>
          <cell r="E76">
            <v>0</v>
          </cell>
          <cell r="F76" t="str">
            <v/>
          </cell>
          <cell r="G76" t="str">
            <v/>
          </cell>
          <cell r="H76" t="str">
            <v/>
          </cell>
        </row>
        <row r="77">
          <cell r="B77" t="str">
            <v/>
          </cell>
          <cell r="C77">
            <v>0</v>
          </cell>
          <cell r="D77">
            <v>0</v>
          </cell>
          <cell r="E77">
            <v>0</v>
          </cell>
          <cell r="F77" t="str">
            <v/>
          </cell>
          <cell r="G77" t="str">
            <v/>
          </cell>
          <cell r="H77" t="str">
            <v/>
          </cell>
        </row>
        <row r="78">
          <cell r="B78" t="str">
            <v/>
          </cell>
          <cell r="C78">
            <v>0</v>
          </cell>
          <cell r="D78">
            <v>0</v>
          </cell>
          <cell r="E78">
            <v>0</v>
          </cell>
          <cell r="F78" t="str">
            <v/>
          </cell>
          <cell r="G78" t="str">
            <v/>
          </cell>
          <cell r="H78" t="str">
            <v/>
          </cell>
        </row>
        <row r="79">
          <cell r="B79" t="str">
            <v/>
          </cell>
          <cell r="C79">
            <v>0</v>
          </cell>
          <cell r="D79">
            <v>0</v>
          </cell>
          <cell r="E79">
            <v>0</v>
          </cell>
          <cell r="F79" t="str">
            <v/>
          </cell>
          <cell r="G79" t="str">
            <v/>
          </cell>
          <cell r="H79" t="str">
            <v/>
          </cell>
        </row>
        <row r="80">
          <cell r="B80" t="str">
            <v/>
          </cell>
          <cell r="C80">
            <v>0</v>
          </cell>
          <cell r="D80">
            <v>0</v>
          </cell>
          <cell r="E80">
            <v>0</v>
          </cell>
          <cell r="F80" t="str">
            <v/>
          </cell>
          <cell r="G80" t="str">
            <v/>
          </cell>
          <cell r="H80" t="str">
            <v/>
          </cell>
        </row>
        <row r="81">
          <cell r="B81" t="str">
            <v/>
          </cell>
          <cell r="C81">
            <v>0</v>
          </cell>
          <cell r="D81">
            <v>0</v>
          </cell>
          <cell r="E81">
            <v>0</v>
          </cell>
          <cell r="F81" t="str">
            <v/>
          </cell>
          <cell r="G81" t="str">
            <v/>
          </cell>
          <cell r="H81" t="str">
            <v/>
          </cell>
        </row>
        <row r="82">
          <cell r="B82" t="str">
            <v/>
          </cell>
          <cell r="C82">
            <v>0</v>
          </cell>
          <cell r="D82">
            <v>0</v>
          </cell>
          <cell r="E82">
            <v>0</v>
          </cell>
          <cell r="F82" t="str">
            <v/>
          </cell>
          <cell r="G82" t="str">
            <v/>
          </cell>
          <cell r="H82" t="str">
            <v/>
          </cell>
        </row>
        <row r="83">
          <cell r="B83" t="str">
            <v/>
          </cell>
          <cell r="C83">
            <v>0</v>
          </cell>
          <cell r="D83">
            <v>0</v>
          </cell>
          <cell r="E83">
            <v>0</v>
          </cell>
          <cell r="F83" t="str">
            <v/>
          </cell>
          <cell r="G83" t="str">
            <v/>
          </cell>
          <cell r="H83" t="str">
            <v/>
          </cell>
        </row>
        <row r="84">
          <cell r="B84" t="str">
            <v/>
          </cell>
          <cell r="C84">
            <v>0</v>
          </cell>
          <cell r="D84">
            <v>0</v>
          </cell>
          <cell r="E84">
            <v>0</v>
          </cell>
          <cell r="F84" t="str">
            <v/>
          </cell>
          <cell r="G84" t="str">
            <v/>
          </cell>
          <cell r="H84" t="str">
            <v/>
          </cell>
        </row>
        <row r="85">
          <cell r="B85" t="str">
            <v/>
          </cell>
          <cell r="C85">
            <v>0</v>
          </cell>
          <cell r="D85">
            <v>0</v>
          </cell>
          <cell r="E85">
            <v>0</v>
          </cell>
          <cell r="F85" t="str">
            <v/>
          </cell>
          <cell r="G85" t="str">
            <v/>
          </cell>
          <cell r="H85" t="str">
            <v/>
          </cell>
        </row>
        <row r="86">
          <cell r="B86" t="str">
            <v/>
          </cell>
          <cell r="C86">
            <v>0</v>
          </cell>
          <cell r="D86">
            <v>0</v>
          </cell>
          <cell r="E86">
            <v>0</v>
          </cell>
          <cell r="F86" t="str">
            <v/>
          </cell>
          <cell r="G86" t="str">
            <v/>
          </cell>
          <cell r="H86" t="str">
            <v/>
          </cell>
        </row>
        <row r="87">
          <cell r="B87" t="str">
            <v/>
          </cell>
          <cell r="C87">
            <v>0</v>
          </cell>
          <cell r="D87">
            <v>0</v>
          </cell>
          <cell r="E87">
            <v>0</v>
          </cell>
          <cell r="F87" t="str">
            <v/>
          </cell>
          <cell r="G87" t="str">
            <v/>
          </cell>
          <cell r="H87" t="str">
            <v/>
          </cell>
        </row>
        <row r="88">
          <cell r="B88" t="str">
            <v/>
          </cell>
          <cell r="C88">
            <v>0</v>
          </cell>
          <cell r="D88">
            <v>0</v>
          </cell>
          <cell r="E88">
            <v>0</v>
          </cell>
          <cell r="F88" t="str">
            <v/>
          </cell>
          <cell r="G88" t="str">
            <v/>
          </cell>
          <cell r="H88" t="str">
            <v/>
          </cell>
        </row>
        <row r="89">
          <cell r="B89" t="str">
            <v/>
          </cell>
          <cell r="C89">
            <v>0</v>
          </cell>
          <cell r="D89">
            <v>0</v>
          </cell>
          <cell r="E89">
            <v>0</v>
          </cell>
          <cell r="F89" t="str">
            <v/>
          </cell>
          <cell r="G89" t="str">
            <v/>
          </cell>
          <cell r="H89" t="str">
            <v/>
          </cell>
        </row>
        <row r="90">
          <cell r="B90" t="str">
            <v/>
          </cell>
          <cell r="C90">
            <v>0</v>
          </cell>
          <cell r="D90">
            <v>0</v>
          </cell>
          <cell r="E90">
            <v>0</v>
          </cell>
          <cell r="F90" t="str">
            <v/>
          </cell>
          <cell r="G90" t="str">
            <v/>
          </cell>
          <cell r="H90" t="str">
            <v/>
          </cell>
        </row>
        <row r="91">
          <cell r="B91" t="str">
            <v/>
          </cell>
          <cell r="C91">
            <v>0</v>
          </cell>
          <cell r="D91">
            <v>0</v>
          </cell>
          <cell r="E91">
            <v>0</v>
          </cell>
          <cell r="F91" t="str">
            <v/>
          </cell>
          <cell r="G91" t="str">
            <v/>
          </cell>
          <cell r="H91" t="str">
            <v/>
          </cell>
        </row>
        <row r="92">
          <cell r="B92" t="str">
            <v/>
          </cell>
          <cell r="C92">
            <v>0</v>
          </cell>
          <cell r="D92">
            <v>0</v>
          </cell>
          <cell r="E92">
            <v>0</v>
          </cell>
          <cell r="F92" t="str">
            <v/>
          </cell>
          <cell r="G92" t="str">
            <v/>
          </cell>
          <cell r="H92" t="str">
            <v/>
          </cell>
        </row>
        <row r="93">
          <cell r="B93" t="str">
            <v/>
          </cell>
          <cell r="C93">
            <v>0</v>
          </cell>
          <cell r="D93">
            <v>0</v>
          </cell>
          <cell r="E93">
            <v>0</v>
          </cell>
          <cell r="F93" t="str">
            <v/>
          </cell>
          <cell r="G93" t="str">
            <v/>
          </cell>
          <cell r="H93" t="str">
            <v/>
          </cell>
        </row>
        <row r="94">
          <cell r="B94" t="str">
            <v/>
          </cell>
          <cell r="C94">
            <v>0</v>
          </cell>
          <cell r="D94">
            <v>0</v>
          </cell>
          <cell r="E94">
            <v>0</v>
          </cell>
          <cell r="F94" t="str">
            <v/>
          </cell>
          <cell r="G94" t="str">
            <v/>
          </cell>
          <cell r="H94" t="str">
            <v/>
          </cell>
        </row>
        <row r="95">
          <cell r="B95" t="str">
            <v/>
          </cell>
          <cell r="C95">
            <v>0</v>
          </cell>
          <cell r="D95">
            <v>0</v>
          </cell>
          <cell r="E95">
            <v>0</v>
          </cell>
          <cell r="F95" t="str">
            <v/>
          </cell>
          <cell r="G95" t="str">
            <v/>
          </cell>
          <cell r="H95" t="str">
            <v/>
          </cell>
        </row>
        <row r="96">
          <cell r="B96" t="str">
            <v/>
          </cell>
          <cell r="C96">
            <v>0</v>
          </cell>
          <cell r="D96">
            <v>0</v>
          </cell>
          <cell r="E96">
            <v>0</v>
          </cell>
          <cell r="F96" t="str">
            <v/>
          </cell>
          <cell r="G96" t="str">
            <v/>
          </cell>
          <cell r="H96" t="str">
            <v/>
          </cell>
        </row>
        <row r="97">
          <cell r="B97" t="str">
            <v/>
          </cell>
          <cell r="C97">
            <v>0</v>
          </cell>
          <cell r="D97">
            <v>0</v>
          </cell>
          <cell r="E97">
            <v>0</v>
          </cell>
          <cell r="F97" t="str">
            <v/>
          </cell>
          <cell r="G97" t="str">
            <v/>
          </cell>
          <cell r="H97" t="str">
            <v/>
          </cell>
        </row>
        <row r="98">
          <cell r="B98" t="str">
            <v/>
          </cell>
          <cell r="C98">
            <v>0</v>
          </cell>
          <cell r="D98">
            <v>0</v>
          </cell>
          <cell r="E98">
            <v>0</v>
          </cell>
          <cell r="F98" t="str">
            <v/>
          </cell>
          <cell r="G98" t="str">
            <v/>
          </cell>
          <cell r="H98" t="str">
            <v/>
          </cell>
        </row>
        <row r="99">
          <cell r="B99" t="str">
            <v/>
          </cell>
          <cell r="C99">
            <v>0</v>
          </cell>
          <cell r="D99">
            <v>0</v>
          </cell>
          <cell r="E99">
            <v>0</v>
          </cell>
          <cell r="F99" t="str">
            <v/>
          </cell>
          <cell r="G99" t="str">
            <v/>
          </cell>
          <cell r="H99" t="str">
            <v/>
          </cell>
        </row>
        <row r="100">
          <cell r="B100" t="str">
            <v/>
          </cell>
          <cell r="C100">
            <v>0</v>
          </cell>
          <cell r="D100">
            <v>0</v>
          </cell>
          <cell r="E100">
            <v>0</v>
          </cell>
          <cell r="F100" t="str">
            <v/>
          </cell>
          <cell r="G100" t="str">
            <v/>
          </cell>
          <cell r="H100" t="str">
            <v/>
          </cell>
        </row>
        <row r="101">
          <cell r="B101" t="str">
            <v/>
          </cell>
          <cell r="C101">
            <v>0</v>
          </cell>
          <cell r="D101">
            <v>0</v>
          </cell>
          <cell r="E101">
            <v>0</v>
          </cell>
          <cell r="F101" t="str">
            <v/>
          </cell>
          <cell r="G101" t="str">
            <v/>
          </cell>
          <cell r="H101" t="str">
            <v/>
          </cell>
        </row>
        <row r="102">
          <cell r="B102" t="str">
            <v/>
          </cell>
          <cell r="C102">
            <v>0</v>
          </cell>
          <cell r="D102">
            <v>0</v>
          </cell>
          <cell r="E102">
            <v>0</v>
          </cell>
          <cell r="F102" t="str">
            <v/>
          </cell>
          <cell r="G102" t="str">
            <v/>
          </cell>
          <cell r="H102" t="str">
            <v/>
          </cell>
        </row>
        <row r="103">
          <cell r="B103" t="str">
            <v/>
          </cell>
          <cell r="C103">
            <v>0</v>
          </cell>
          <cell r="D103">
            <v>0</v>
          </cell>
          <cell r="E103">
            <v>0</v>
          </cell>
          <cell r="F103" t="str">
            <v/>
          </cell>
          <cell r="G103" t="str">
            <v/>
          </cell>
          <cell r="H103" t="str">
            <v/>
          </cell>
        </row>
        <row r="104">
          <cell r="B104" t="str">
            <v/>
          </cell>
          <cell r="C104">
            <v>0</v>
          </cell>
          <cell r="D104">
            <v>0</v>
          </cell>
          <cell r="E104">
            <v>0</v>
          </cell>
          <cell r="F104" t="str">
            <v/>
          </cell>
          <cell r="G104" t="str">
            <v/>
          </cell>
          <cell r="H104" t="str">
            <v/>
          </cell>
        </row>
        <row r="105">
          <cell r="B105" t="str">
            <v/>
          </cell>
          <cell r="C105">
            <v>0</v>
          </cell>
          <cell r="D105">
            <v>0</v>
          </cell>
          <cell r="E105">
            <v>0</v>
          </cell>
          <cell r="F105" t="str">
            <v/>
          </cell>
          <cell r="G105" t="str">
            <v/>
          </cell>
          <cell r="H105" t="str">
            <v/>
          </cell>
        </row>
        <row r="106">
          <cell r="B106" t="str">
            <v/>
          </cell>
          <cell r="C106">
            <v>0</v>
          </cell>
          <cell r="D106">
            <v>0</v>
          </cell>
          <cell r="E106">
            <v>0</v>
          </cell>
          <cell r="F106" t="str">
            <v/>
          </cell>
          <cell r="G106" t="str">
            <v/>
          </cell>
          <cell r="H106" t="str">
            <v/>
          </cell>
        </row>
        <row r="107">
          <cell r="B107" t="str">
            <v/>
          </cell>
          <cell r="C107">
            <v>0</v>
          </cell>
          <cell r="D107">
            <v>0</v>
          </cell>
          <cell r="E107">
            <v>0</v>
          </cell>
          <cell r="F107" t="str">
            <v/>
          </cell>
          <cell r="G107" t="str">
            <v/>
          </cell>
          <cell r="H107" t="str">
            <v/>
          </cell>
        </row>
        <row r="108">
          <cell r="B108" t="str">
            <v/>
          </cell>
          <cell r="C108">
            <v>0</v>
          </cell>
          <cell r="D108">
            <v>0</v>
          </cell>
          <cell r="E108">
            <v>0</v>
          </cell>
          <cell r="F108" t="str">
            <v/>
          </cell>
          <cell r="G108" t="str">
            <v/>
          </cell>
          <cell r="H108" t="str">
            <v/>
          </cell>
        </row>
        <row r="109">
          <cell r="B109" t="str">
            <v/>
          </cell>
          <cell r="C109">
            <v>0</v>
          </cell>
          <cell r="D109">
            <v>0</v>
          </cell>
          <cell r="E109">
            <v>0</v>
          </cell>
          <cell r="F109" t="str">
            <v/>
          </cell>
          <cell r="G109" t="str">
            <v/>
          </cell>
          <cell r="H109" t="str">
            <v/>
          </cell>
        </row>
        <row r="110">
          <cell r="B110" t="str">
            <v/>
          </cell>
          <cell r="C110">
            <v>0</v>
          </cell>
          <cell r="D110">
            <v>0</v>
          </cell>
          <cell r="E110">
            <v>0</v>
          </cell>
          <cell r="F110" t="str">
            <v/>
          </cell>
          <cell r="G110" t="str">
            <v/>
          </cell>
          <cell r="H110" t="str">
            <v/>
          </cell>
        </row>
        <row r="111">
          <cell r="B111" t="str">
            <v/>
          </cell>
          <cell r="C111">
            <v>0</v>
          </cell>
          <cell r="D111">
            <v>0</v>
          </cell>
          <cell r="E111">
            <v>0</v>
          </cell>
          <cell r="F111" t="str">
            <v/>
          </cell>
          <cell r="G111" t="str">
            <v/>
          </cell>
          <cell r="H111" t="str">
            <v/>
          </cell>
        </row>
        <row r="112">
          <cell r="B112" t="str">
            <v/>
          </cell>
          <cell r="C112">
            <v>0</v>
          </cell>
          <cell r="D112">
            <v>0</v>
          </cell>
          <cell r="E112">
            <v>0</v>
          </cell>
          <cell r="F112" t="str">
            <v/>
          </cell>
          <cell r="G112" t="str">
            <v/>
          </cell>
          <cell r="H112" t="str">
            <v/>
          </cell>
        </row>
        <row r="113">
          <cell r="B113" t="str">
            <v/>
          </cell>
          <cell r="C113">
            <v>0</v>
          </cell>
          <cell r="D113">
            <v>0</v>
          </cell>
          <cell r="E113">
            <v>0</v>
          </cell>
          <cell r="F113" t="str">
            <v/>
          </cell>
          <cell r="G113" t="str">
            <v/>
          </cell>
          <cell r="H113" t="str">
            <v/>
          </cell>
        </row>
        <row r="114">
          <cell r="B114" t="str">
            <v/>
          </cell>
          <cell r="C114">
            <v>0</v>
          </cell>
          <cell r="D114">
            <v>0</v>
          </cell>
          <cell r="E114">
            <v>0</v>
          </cell>
          <cell r="F114" t="str">
            <v/>
          </cell>
          <cell r="G114" t="str">
            <v/>
          </cell>
          <cell r="H114" t="str">
            <v/>
          </cell>
        </row>
        <row r="115">
          <cell r="B115" t="str">
            <v/>
          </cell>
          <cell r="C115">
            <v>0</v>
          </cell>
          <cell r="D115">
            <v>0</v>
          </cell>
          <cell r="E115">
            <v>0</v>
          </cell>
          <cell r="F115" t="str">
            <v/>
          </cell>
          <cell r="G115" t="str">
            <v/>
          </cell>
          <cell r="H115" t="str">
            <v/>
          </cell>
        </row>
        <row r="116">
          <cell r="B116" t="str">
            <v/>
          </cell>
          <cell r="C116">
            <v>0</v>
          </cell>
          <cell r="D116">
            <v>0</v>
          </cell>
          <cell r="E116">
            <v>0</v>
          </cell>
          <cell r="F116" t="str">
            <v/>
          </cell>
          <cell r="G116" t="str">
            <v/>
          </cell>
          <cell r="H116" t="str">
            <v/>
          </cell>
        </row>
        <row r="117">
          <cell r="B117" t="str">
            <v/>
          </cell>
          <cell r="C117">
            <v>0</v>
          </cell>
          <cell r="D117">
            <v>0</v>
          </cell>
          <cell r="E117">
            <v>0</v>
          </cell>
          <cell r="F117" t="str">
            <v/>
          </cell>
          <cell r="G117" t="str">
            <v/>
          </cell>
          <cell r="H117" t="str">
            <v/>
          </cell>
        </row>
        <row r="118">
          <cell r="B118" t="str">
            <v/>
          </cell>
          <cell r="C118">
            <v>0</v>
          </cell>
          <cell r="D118">
            <v>0</v>
          </cell>
          <cell r="E118">
            <v>0</v>
          </cell>
          <cell r="F118" t="str">
            <v/>
          </cell>
          <cell r="G118" t="str">
            <v/>
          </cell>
          <cell r="H118" t="str">
            <v/>
          </cell>
        </row>
        <row r="119">
          <cell r="B119" t="str">
            <v/>
          </cell>
          <cell r="C119">
            <v>0</v>
          </cell>
          <cell r="D119">
            <v>0</v>
          </cell>
          <cell r="E119">
            <v>0</v>
          </cell>
          <cell r="F119" t="str">
            <v/>
          </cell>
          <cell r="G119" t="str">
            <v/>
          </cell>
          <cell r="H119" t="str">
            <v/>
          </cell>
        </row>
        <row r="120">
          <cell r="B120" t="str">
            <v/>
          </cell>
          <cell r="C120">
            <v>0</v>
          </cell>
          <cell r="D120">
            <v>0</v>
          </cell>
          <cell r="E120">
            <v>0</v>
          </cell>
          <cell r="F120" t="str">
            <v/>
          </cell>
          <cell r="G120" t="str">
            <v/>
          </cell>
          <cell r="H120" t="str">
            <v/>
          </cell>
        </row>
        <row r="121">
          <cell r="B121" t="str">
            <v/>
          </cell>
          <cell r="C121">
            <v>0</v>
          </cell>
          <cell r="D121">
            <v>0</v>
          </cell>
          <cell r="E121">
            <v>0</v>
          </cell>
          <cell r="F121" t="str">
            <v/>
          </cell>
          <cell r="G121" t="str">
            <v/>
          </cell>
          <cell r="H121" t="str">
            <v/>
          </cell>
        </row>
        <row r="122">
          <cell r="B122" t="str">
            <v/>
          </cell>
          <cell r="C122">
            <v>0</v>
          </cell>
          <cell r="D122">
            <v>0</v>
          </cell>
          <cell r="E122">
            <v>0</v>
          </cell>
          <cell r="F122" t="str">
            <v/>
          </cell>
          <cell r="G122" t="str">
            <v/>
          </cell>
          <cell r="H122" t="str">
            <v/>
          </cell>
        </row>
        <row r="123">
          <cell r="B123" t="str">
            <v/>
          </cell>
          <cell r="C123">
            <v>0</v>
          </cell>
          <cell r="D123">
            <v>0</v>
          </cell>
          <cell r="E123">
            <v>0</v>
          </cell>
          <cell r="F123" t="str">
            <v/>
          </cell>
          <cell r="G123" t="str">
            <v/>
          </cell>
          <cell r="H123" t="str">
            <v/>
          </cell>
        </row>
        <row r="124">
          <cell r="B124" t="str">
            <v/>
          </cell>
          <cell r="C124">
            <v>0</v>
          </cell>
          <cell r="D124">
            <v>0</v>
          </cell>
          <cell r="E124">
            <v>0</v>
          </cell>
          <cell r="F124" t="str">
            <v/>
          </cell>
          <cell r="G124" t="str">
            <v/>
          </cell>
          <cell r="H124" t="str">
            <v/>
          </cell>
        </row>
        <row r="125">
          <cell r="B125" t="str">
            <v/>
          </cell>
          <cell r="C125">
            <v>0</v>
          </cell>
          <cell r="D125">
            <v>0</v>
          </cell>
          <cell r="E125">
            <v>0</v>
          </cell>
          <cell r="F125" t="str">
            <v/>
          </cell>
          <cell r="G125" t="str">
            <v/>
          </cell>
          <cell r="H125" t="str">
            <v/>
          </cell>
        </row>
        <row r="126">
          <cell r="B126" t="str">
            <v/>
          </cell>
          <cell r="C126">
            <v>0</v>
          </cell>
          <cell r="D126">
            <v>0</v>
          </cell>
          <cell r="E126">
            <v>0</v>
          </cell>
          <cell r="F126" t="str">
            <v/>
          </cell>
          <cell r="G126" t="str">
            <v/>
          </cell>
          <cell r="H126" t="str">
            <v/>
          </cell>
        </row>
        <row r="127">
          <cell r="B127" t="str">
            <v/>
          </cell>
          <cell r="C127">
            <v>0</v>
          </cell>
          <cell r="D127">
            <v>0</v>
          </cell>
          <cell r="E127">
            <v>0</v>
          </cell>
          <cell r="F127" t="str">
            <v/>
          </cell>
          <cell r="G127" t="str">
            <v/>
          </cell>
          <cell r="H127" t="str">
            <v/>
          </cell>
        </row>
        <row r="128">
          <cell r="B128" t="str">
            <v/>
          </cell>
          <cell r="C128">
            <v>0</v>
          </cell>
          <cell r="D128">
            <v>0</v>
          </cell>
          <cell r="E128">
            <v>0</v>
          </cell>
          <cell r="F128" t="str">
            <v/>
          </cell>
          <cell r="G128" t="str">
            <v/>
          </cell>
          <cell r="H128" t="str">
            <v/>
          </cell>
        </row>
        <row r="129">
          <cell r="B129" t="str">
            <v/>
          </cell>
          <cell r="C129">
            <v>0</v>
          </cell>
          <cell r="D129">
            <v>0</v>
          </cell>
          <cell r="E129">
            <v>0</v>
          </cell>
          <cell r="F129" t="str">
            <v/>
          </cell>
          <cell r="G129" t="str">
            <v/>
          </cell>
          <cell r="H129" t="str">
            <v/>
          </cell>
        </row>
        <row r="130">
          <cell r="B130" t="str">
            <v/>
          </cell>
          <cell r="C130">
            <v>0</v>
          </cell>
          <cell r="D130">
            <v>0</v>
          </cell>
          <cell r="E130">
            <v>0</v>
          </cell>
          <cell r="F130" t="str">
            <v/>
          </cell>
          <cell r="G130" t="str">
            <v/>
          </cell>
          <cell r="H130" t="str">
            <v/>
          </cell>
        </row>
        <row r="131">
          <cell r="B131" t="str">
            <v/>
          </cell>
          <cell r="C131">
            <v>0</v>
          </cell>
          <cell r="D131">
            <v>0</v>
          </cell>
          <cell r="E131">
            <v>0</v>
          </cell>
          <cell r="F131" t="str">
            <v/>
          </cell>
          <cell r="G131" t="str">
            <v/>
          </cell>
          <cell r="H131" t="str">
            <v/>
          </cell>
        </row>
        <row r="132">
          <cell r="B132" t="str">
            <v/>
          </cell>
          <cell r="C132">
            <v>0</v>
          </cell>
          <cell r="D132">
            <v>0</v>
          </cell>
          <cell r="E132">
            <v>0</v>
          </cell>
          <cell r="F132" t="str">
            <v/>
          </cell>
          <cell r="G132" t="str">
            <v/>
          </cell>
          <cell r="H132" t="str">
            <v/>
          </cell>
        </row>
        <row r="133">
          <cell r="B133" t="str">
            <v/>
          </cell>
          <cell r="C133">
            <v>0</v>
          </cell>
          <cell r="D133">
            <v>0</v>
          </cell>
          <cell r="E133">
            <v>0</v>
          </cell>
          <cell r="F133" t="str">
            <v/>
          </cell>
          <cell r="G133" t="str">
            <v/>
          </cell>
          <cell r="H133" t="str">
            <v/>
          </cell>
        </row>
        <row r="134">
          <cell r="B134" t="str">
            <v/>
          </cell>
          <cell r="C134">
            <v>0</v>
          </cell>
          <cell r="D134">
            <v>0</v>
          </cell>
          <cell r="E134">
            <v>0</v>
          </cell>
          <cell r="F134" t="str">
            <v/>
          </cell>
          <cell r="G134" t="str">
            <v/>
          </cell>
          <cell r="H134" t="str">
            <v/>
          </cell>
        </row>
        <row r="135">
          <cell r="B135" t="str">
            <v/>
          </cell>
          <cell r="C135">
            <v>0</v>
          </cell>
          <cell r="D135">
            <v>0</v>
          </cell>
          <cell r="E135">
            <v>0</v>
          </cell>
          <cell r="F135" t="str">
            <v/>
          </cell>
          <cell r="G135" t="str">
            <v/>
          </cell>
          <cell r="H135" t="str">
            <v/>
          </cell>
        </row>
        <row r="136">
          <cell r="B136" t="str">
            <v/>
          </cell>
          <cell r="C136">
            <v>0</v>
          </cell>
          <cell r="D136">
            <v>0</v>
          </cell>
          <cell r="E136">
            <v>0</v>
          </cell>
          <cell r="F136" t="str">
            <v/>
          </cell>
          <cell r="G136" t="str">
            <v/>
          </cell>
          <cell r="H136" t="str">
            <v/>
          </cell>
        </row>
        <row r="137">
          <cell r="B137" t="str">
            <v/>
          </cell>
          <cell r="C137">
            <v>0</v>
          </cell>
          <cell r="D137">
            <v>0</v>
          </cell>
          <cell r="E137">
            <v>0</v>
          </cell>
          <cell r="F137" t="str">
            <v/>
          </cell>
          <cell r="G137" t="str">
            <v/>
          </cell>
          <cell r="H137" t="str">
            <v/>
          </cell>
        </row>
        <row r="138">
          <cell r="B138" t="str">
            <v/>
          </cell>
          <cell r="C138">
            <v>0</v>
          </cell>
          <cell r="D138">
            <v>0</v>
          </cell>
          <cell r="E138">
            <v>0</v>
          </cell>
          <cell r="F138" t="str">
            <v/>
          </cell>
          <cell r="G138" t="str">
            <v/>
          </cell>
          <cell r="H138" t="str">
            <v/>
          </cell>
        </row>
        <row r="139">
          <cell r="B139" t="str">
            <v/>
          </cell>
          <cell r="C139">
            <v>0</v>
          </cell>
          <cell r="D139">
            <v>0</v>
          </cell>
          <cell r="E139">
            <v>0</v>
          </cell>
          <cell r="F139" t="str">
            <v/>
          </cell>
          <cell r="G139" t="str">
            <v/>
          </cell>
          <cell r="H139" t="str">
            <v/>
          </cell>
        </row>
        <row r="140">
          <cell r="B140" t="str">
            <v/>
          </cell>
          <cell r="C140">
            <v>0</v>
          </cell>
          <cell r="D140">
            <v>0</v>
          </cell>
          <cell r="E140">
            <v>0</v>
          </cell>
          <cell r="F140" t="str">
            <v/>
          </cell>
          <cell r="G140" t="str">
            <v/>
          </cell>
          <cell r="H140" t="str">
            <v/>
          </cell>
        </row>
        <row r="141">
          <cell r="B141" t="str">
            <v/>
          </cell>
          <cell r="C141">
            <v>0</v>
          </cell>
          <cell r="D141">
            <v>0</v>
          </cell>
          <cell r="E141">
            <v>0</v>
          </cell>
          <cell r="F141" t="str">
            <v/>
          </cell>
          <cell r="G141" t="str">
            <v/>
          </cell>
          <cell r="H141" t="str">
            <v/>
          </cell>
        </row>
        <row r="142">
          <cell r="B142" t="str">
            <v/>
          </cell>
          <cell r="C142">
            <v>0</v>
          </cell>
          <cell r="D142">
            <v>0</v>
          </cell>
          <cell r="E142">
            <v>0</v>
          </cell>
          <cell r="F142" t="str">
            <v/>
          </cell>
          <cell r="G142" t="str">
            <v/>
          </cell>
          <cell r="H142" t="str">
            <v/>
          </cell>
        </row>
        <row r="143">
          <cell r="B143" t="str">
            <v/>
          </cell>
          <cell r="C143">
            <v>0</v>
          </cell>
          <cell r="D143">
            <v>0</v>
          </cell>
          <cell r="E143">
            <v>0</v>
          </cell>
          <cell r="F143" t="str">
            <v/>
          </cell>
          <cell r="G143" t="str">
            <v/>
          </cell>
          <cell r="H143" t="str">
            <v/>
          </cell>
        </row>
        <row r="144">
          <cell r="B144" t="str">
            <v/>
          </cell>
          <cell r="C144">
            <v>0</v>
          </cell>
          <cell r="D144">
            <v>0</v>
          </cell>
          <cell r="E144">
            <v>0</v>
          </cell>
          <cell r="F144" t="str">
            <v/>
          </cell>
          <cell r="G144" t="str">
            <v/>
          </cell>
          <cell r="H144" t="str">
            <v/>
          </cell>
        </row>
        <row r="145">
          <cell r="B145" t="str">
            <v/>
          </cell>
          <cell r="C145">
            <v>0</v>
          </cell>
          <cell r="D145">
            <v>0</v>
          </cell>
          <cell r="E145">
            <v>0</v>
          </cell>
          <cell r="F145" t="str">
            <v/>
          </cell>
          <cell r="G145" t="str">
            <v/>
          </cell>
          <cell r="H145" t="str">
            <v/>
          </cell>
        </row>
        <row r="146">
          <cell r="B146" t="str">
            <v/>
          </cell>
          <cell r="C146">
            <v>0</v>
          </cell>
          <cell r="D146">
            <v>0</v>
          </cell>
          <cell r="E146">
            <v>0</v>
          </cell>
          <cell r="F146" t="str">
            <v/>
          </cell>
          <cell r="G146" t="str">
            <v/>
          </cell>
          <cell r="H146" t="str">
            <v/>
          </cell>
        </row>
        <row r="147">
          <cell r="B147" t="str">
            <v/>
          </cell>
          <cell r="C147">
            <v>0</v>
          </cell>
          <cell r="D147">
            <v>0</v>
          </cell>
          <cell r="E147">
            <v>0</v>
          </cell>
          <cell r="F147" t="str">
            <v/>
          </cell>
          <cell r="G147" t="str">
            <v/>
          </cell>
          <cell r="H147" t="str">
            <v/>
          </cell>
        </row>
        <row r="148">
          <cell r="B148" t="str">
            <v/>
          </cell>
          <cell r="C148">
            <v>0</v>
          </cell>
          <cell r="D148">
            <v>0</v>
          </cell>
          <cell r="E148">
            <v>0</v>
          </cell>
          <cell r="F148" t="str">
            <v/>
          </cell>
          <cell r="G148" t="str">
            <v/>
          </cell>
          <cell r="H148" t="str">
            <v/>
          </cell>
        </row>
        <row r="149">
          <cell r="B149" t="str">
            <v/>
          </cell>
          <cell r="C149">
            <v>0</v>
          </cell>
          <cell r="D149">
            <v>0</v>
          </cell>
          <cell r="E149">
            <v>0</v>
          </cell>
          <cell r="F149" t="str">
            <v/>
          </cell>
          <cell r="G149" t="str">
            <v/>
          </cell>
          <cell r="H149" t="str">
            <v/>
          </cell>
        </row>
        <row r="150">
          <cell r="B150" t="str">
            <v/>
          </cell>
          <cell r="C150">
            <v>0</v>
          </cell>
          <cell r="D150">
            <v>0</v>
          </cell>
          <cell r="E150">
            <v>0</v>
          </cell>
          <cell r="F150" t="str">
            <v/>
          </cell>
          <cell r="G150" t="str">
            <v/>
          </cell>
          <cell r="H150" t="str">
            <v/>
          </cell>
        </row>
        <row r="151">
          <cell r="B151" t="str">
            <v/>
          </cell>
          <cell r="C151">
            <v>0</v>
          </cell>
          <cell r="D151">
            <v>0</v>
          </cell>
          <cell r="E151">
            <v>0</v>
          </cell>
          <cell r="F151" t="str">
            <v/>
          </cell>
          <cell r="G151" t="str">
            <v/>
          </cell>
          <cell r="H151" t="str">
            <v/>
          </cell>
        </row>
        <row r="152">
          <cell r="B152" t="str">
            <v/>
          </cell>
          <cell r="C152">
            <v>0</v>
          </cell>
          <cell r="D152">
            <v>0</v>
          </cell>
          <cell r="E152">
            <v>0</v>
          </cell>
          <cell r="F152" t="str">
            <v/>
          </cell>
          <cell r="G152" t="str">
            <v/>
          </cell>
          <cell r="H152" t="str">
            <v/>
          </cell>
        </row>
        <row r="153">
          <cell r="B153" t="str">
            <v/>
          </cell>
          <cell r="C153">
            <v>0</v>
          </cell>
          <cell r="D153">
            <v>0</v>
          </cell>
          <cell r="E153">
            <v>0</v>
          </cell>
          <cell r="F153" t="str">
            <v/>
          </cell>
          <cell r="G153" t="str">
            <v/>
          </cell>
          <cell r="H153" t="str">
            <v/>
          </cell>
        </row>
        <row r="154">
          <cell r="B154" t="str">
            <v/>
          </cell>
          <cell r="C154">
            <v>0</v>
          </cell>
          <cell r="D154">
            <v>0</v>
          </cell>
          <cell r="E154">
            <v>0</v>
          </cell>
          <cell r="F154" t="str">
            <v/>
          </cell>
          <cell r="G154" t="str">
            <v/>
          </cell>
          <cell r="H154" t="str">
            <v/>
          </cell>
        </row>
        <row r="155">
          <cell r="B155" t="str">
            <v/>
          </cell>
          <cell r="C155">
            <v>0</v>
          </cell>
          <cell r="D155">
            <v>0</v>
          </cell>
          <cell r="E155">
            <v>0</v>
          </cell>
          <cell r="F155" t="str">
            <v/>
          </cell>
          <cell r="G155" t="str">
            <v/>
          </cell>
          <cell r="H155" t="str">
            <v/>
          </cell>
        </row>
        <row r="156">
          <cell r="B156" t="str">
            <v/>
          </cell>
          <cell r="C156">
            <v>0</v>
          </cell>
          <cell r="D156">
            <v>0</v>
          </cell>
          <cell r="E156">
            <v>0</v>
          </cell>
          <cell r="F156" t="str">
            <v/>
          </cell>
          <cell r="G156" t="str">
            <v/>
          </cell>
          <cell r="H156" t="str">
            <v/>
          </cell>
        </row>
        <row r="157">
          <cell r="B157" t="str">
            <v/>
          </cell>
          <cell r="C157">
            <v>0</v>
          </cell>
          <cell r="D157">
            <v>0</v>
          </cell>
          <cell r="E157">
            <v>0</v>
          </cell>
          <cell r="F157" t="str">
            <v/>
          </cell>
          <cell r="G157" t="str">
            <v/>
          </cell>
          <cell r="H157" t="str">
            <v/>
          </cell>
        </row>
        <row r="158">
          <cell r="B158" t="str">
            <v/>
          </cell>
          <cell r="C158">
            <v>0</v>
          </cell>
          <cell r="D158">
            <v>0</v>
          </cell>
          <cell r="E158">
            <v>0</v>
          </cell>
          <cell r="F158" t="str">
            <v/>
          </cell>
          <cell r="G158" t="str">
            <v/>
          </cell>
          <cell r="H158" t="str">
            <v/>
          </cell>
        </row>
        <row r="159">
          <cell r="B159" t="str">
            <v/>
          </cell>
          <cell r="C159">
            <v>0</v>
          </cell>
          <cell r="D159">
            <v>0</v>
          </cell>
          <cell r="E159">
            <v>0</v>
          </cell>
          <cell r="F159" t="str">
            <v/>
          </cell>
          <cell r="G159" t="str">
            <v/>
          </cell>
          <cell r="H159" t="str">
            <v/>
          </cell>
        </row>
        <row r="160">
          <cell r="B160" t="str">
            <v/>
          </cell>
          <cell r="C160">
            <v>0</v>
          </cell>
          <cell r="D160">
            <v>0</v>
          </cell>
          <cell r="E160">
            <v>0</v>
          </cell>
          <cell r="F160" t="str">
            <v/>
          </cell>
          <cell r="G160" t="str">
            <v/>
          </cell>
          <cell r="H160" t="str">
            <v/>
          </cell>
        </row>
        <row r="161">
          <cell r="B161" t="str">
            <v/>
          </cell>
          <cell r="C161">
            <v>0</v>
          </cell>
          <cell r="D161">
            <v>0</v>
          </cell>
          <cell r="E161">
            <v>0</v>
          </cell>
          <cell r="F161" t="str">
            <v/>
          </cell>
          <cell r="G161" t="str">
            <v/>
          </cell>
          <cell r="H161" t="str">
            <v/>
          </cell>
        </row>
        <row r="162">
          <cell r="B162" t="str">
            <v/>
          </cell>
          <cell r="C162">
            <v>0</v>
          </cell>
          <cell r="D162">
            <v>0</v>
          </cell>
          <cell r="E162">
            <v>0</v>
          </cell>
          <cell r="F162" t="str">
            <v/>
          </cell>
          <cell r="G162" t="str">
            <v/>
          </cell>
          <cell r="H162" t="str">
            <v/>
          </cell>
        </row>
        <row r="163">
          <cell r="B163" t="str">
            <v/>
          </cell>
          <cell r="C163">
            <v>0</v>
          </cell>
          <cell r="D163">
            <v>0</v>
          </cell>
          <cell r="E163">
            <v>0</v>
          </cell>
          <cell r="F163" t="str">
            <v/>
          </cell>
          <cell r="G163" t="str">
            <v/>
          </cell>
          <cell r="H163" t="str">
            <v/>
          </cell>
        </row>
        <row r="164">
          <cell r="B164" t="str">
            <v/>
          </cell>
          <cell r="C164">
            <v>0</v>
          </cell>
          <cell r="D164">
            <v>0</v>
          </cell>
          <cell r="E164">
            <v>0</v>
          </cell>
          <cell r="F164" t="str">
            <v/>
          </cell>
          <cell r="G164" t="str">
            <v/>
          </cell>
          <cell r="H164" t="str">
            <v/>
          </cell>
        </row>
        <row r="165">
          <cell r="B165" t="str">
            <v/>
          </cell>
          <cell r="C165">
            <v>0</v>
          </cell>
          <cell r="D165">
            <v>0</v>
          </cell>
          <cell r="E165">
            <v>0</v>
          </cell>
          <cell r="F165" t="str">
            <v/>
          </cell>
          <cell r="G165" t="str">
            <v/>
          </cell>
          <cell r="H165" t="str">
            <v/>
          </cell>
        </row>
        <row r="166">
          <cell r="B166" t="str">
            <v/>
          </cell>
          <cell r="C166">
            <v>0</v>
          </cell>
          <cell r="D166">
            <v>0</v>
          </cell>
          <cell r="E166">
            <v>0</v>
          </cell>
          <cell r="F166" t="str">
            <v/>
          </cell>
          <cell r="G166" t="str">
            <v/>
          </cell>
          <cell r="H166" t="str">
            <v/>
          </cell>
        </row>
        <row r="167">
          <cell r="B167" t="str">
            <v/>
          </cell>
          <cell r="C167">
            <v>0</v>
          </cell>
          <cell r="D167">
            <v>0</v>
          </cell>
          <cell r="E167">
            <v>0</v>
          </cell>
          <cell r="F167" t="str">
            <v/>
          </cell>
          <cell r="G167" t="str">
            <v/>
          </cell>
          <cell r="H167" t="str">
            <v/>
          </cell>
        </row>
        <row r="168">
          <cell r="B168" t="str">
            <v/>
          </cell>
          <cell r="C168">
            <v>0</v>
          </cell>
          <cell r="D168">
            <v>0</v>
          </cell>
          <cell r="E168">
            <v>0</v>
          </cell>
          <cell r="F168" t="str">
            <v/>
          </cell>
          <cell r="G168" t="str">
            <v/>
          </cell>
          <cell r="H168" t="str">
            <v/>
          </cell>
        </row>
        <row r="169">
          <cell r="B169" t="str">
            <v/>
          </cell>
          <cell r="C169">
            <v>0</v>
          </cell>
          <cell r="D169">
            <v>0</v>
          </cell>
          <cell r="E169">
            <v>0</v>
          </cell>
          <cell r="F169" t="str">
            <v/>
          </cell>
          <cell r="G169" t="str">
            <v/>
          </cell>
          <cell r="H169" t="str">
            <v/>
          </cell>
        </row>
        <row r="170">
          <cell r="B170" t="str">
            <v/>
          </cell>
          <cell r="C170">
            <v>0</v>
          </cell>
          <cell r="D170">
            <v>0</v>
          </cell>
          <cell r="E170">
            <v>0</v>
          </cell>
          <cell r="F170" t="str">
            <v/>
          </cell>
          <cell r="G170" t="str">
            <v/>
          </cell>
          <cell r="H170" t="str">
            <v/>
          </cell>
        </row>
        <row r="171">
          <cell r="B171" t="str">
            <v/>
          </cell>
          <cell r="C171">
            <v>0</v>
          </cell>
          <cell r="D171">
            <v>0</v>
          </cell>
          <cell r="E171">
            <v>0</v>
          </cell>
          <cell r="F171" t="str">
            <v/>
          </cell>
          <cell r="G171" t="str">
            <v/>
          </cell>
          <cell r="H171" t="str">
            <v/>
          </cell>
        </row>
        <row r="172">
          <cell r="B172" t="str">
            <v/>
          </cell>
          <cell r="C172">
            <v>0</v>
          </cell>
          <cell r="D172">
            <v>0</v>
          </cell>
          <cell r="E172">
            <v>0</v>
          </cell>
          <cell r="F172" t="str">
            <v/>
          </cell>
          <cell r="G172" t="str">
            <v/>
          </cell>
          <cell r="H172" t="str">
            <v/>
          </cell>
        </row>
        <row r="173">
          <cell r="B173" t="str">
            <v/>
          </cell>
          <cell r="C173">
            <v>0</v>
          </cell>
          <cell r="D173">
            <v>0</v>
          </cell>
          <cell r="E173">
            <v>0</v>
          </cell>
          <cell r="F173" t="str">
            <v/>
          </cell>
          <cell r="G173" t="str">
            <v/>
          </cell>
          <cell r="H173" t="str">
            <v/>
          </cell>
        </row>
        <row r="174">
          <cell r="B174" t="str">
            <v/>
          </cell>
          <cell r="C174">
            <v>0</v>
          </cell>
          <cell r="D174">
            <v>0</v>
          </cell>
          <cell r="E174">
            <v>0</v>
          </cell>
          <cell r="F174" t="str">
            <v/>
          </cell>
          <cell r="G174" t="str">
            <v/>
          </cell>
          <cell r="H174" t="str">
            <v/>
          </cell>
        </row>
        <row r="175">
          <cell r="B175" t="str">
            <v/>
          </cell>
          <cell r="C175">
            <v>0</v>
          </cell>
          <cell r="D175">
            <v>0</v>
          </cell>
          <cell r="E175">
            <v>0</v>
          </cell>
          <cell r="F175" t="str">
            <v/>
          </cell>
          <cell r="G175" t="str">
            <v/>
          </cell>
          <cell r="H175" t="str">
            <v/>
          </cell>
        </row>
        <row r="176">
          <cell r="B176" t="str">
            <v/>
          </cell>
          <cell r="C176">
            <v>0</v>
          </cell>
          <cell r="D176">
            <v>0</v>
          </cell>
          <cell r="E176">
            <v>0</v>
          </cell>
          <cell r="F176" t="str">
            <v/>
          </cell>
          <cell r="G176" t="str">
            <v/>
          </cell>
          <cell r="H176" t="str">
            <v/>
          </cell>
        </row>
        <row r="177">
          <cell r="B177" t="str">
            <v/>
          </cell>
          <cell r="C177">
            <v>0</v>
          </cell>
          <cell r="D177">
            <v>0</v>
          </cell>
          <cell r="E177">
            <v>0</v>
          </cell>
          <cell r="F177" t="str">
            <v/>
          </cell>
          <cell r="G177" t="str">
            <v/>
          </cell>
          <cell r="H177" t="str">
            <v/>
          </cell>
        </row>
        <row r="178">
          <cell r="B178" t="str">
            <v/>
          </cell>
          <cell r="C178">
            <v>0</v>
          </cell>
          <cell r="D178">
            <v>0</v>
          </cell>
          <cell r="E178">
            <v>0</v>
          </cell>
          <cell r="F178" t="str">
            <v/>
          </cell>
          <cell r="G178" t="str">
            <v/>
          </cell>
          <cell r="H178" t="str">
            <v/>
          </cell>
        </row>
        <row r="179">
          <cell r="B179" t="str">
            <v/>
          </cell>
          <cell r="C179">
            <v>0</v>
          </cell>
          <cell r="D179">
            <v>0</v>
          </cell>
          <cell r="E179">
            <v>0</v>
          </cell>
          <cell r="F179" t="str">
            <v/>
          </cell>
          <cell r="G179" t="str">
            <v/>
          </cell>
          <cell r="H179" t="str">
            <v/>
          </cell>
        </row>
        <row r="180">
          <cell r="B180" t="str">
            <v/>
          </cell>
          <cell r="C180">
            <v>0</v>
          </cell>
          <cell r="D180">
            <v>0</v>
          </cell>
          <cell r="E180">
            <v>0</v>
          </cell>
          <cell r="F180" t="str">
            <v/>
          </cell>
          <cell r="G180" t="str">
            <v/>
          </cell>
          <cell r="H180" t="str">
            <v/>
          </cell>
        </row>
        <row r="181">
          <cell r="B181" t="str">
            <v/>
          </cell>
          <cell r="C181">
            <v>0</v>
          </cell>
          <cell r="D181">
            <v>0</v>
          </cell>
          <cell r="E181">
            <v>0</v>
          </cell>
          <cell r="F181" t="str">
            <v/>
          </cell>
          <cell r="G181" t="str">
            <v/>
          </cell>
          <cell r="H181" t="str">
            <v/>
          </cell>
        </row>
        <row r="182">
          <cell r="B182" t="str">
            <v/>
          </cell>
          <cell r="C182">
            <v>0</v>
          </cell>
          <cell r="D182">
            <v>0</v>
          </cell>
          <cell r="E182">
            <v>0</v>
          </cell>
          <cell r="F182" t="str">
            <v/>
          </cell>
          <cell r="G182" t="str">
            <v/>
          </cell>
          <cell r="H182" t="str">
            <v/>
          </cell>
        </row>
        <row r="183">
          <cell r="B183" t="str">
            <v/>
          </cell>
          <cell r="C183">
            <v>0</v>
          </cell>
          <cell r="D183">
            <v>0</v>
          </cell>
          <cell r="E183">
            <v>0</v>
          </cell>
          <cell r="F183" t="str">
            <v/>
          </cell>
          <cell r="G183" t="str">
            <v/>
          </cell>
          <cell r="H183" t="str">
            <v/>
          </cell>
        </row>
        <row r="184">
          <cell r="B184" t="str">
            <v/>
          </cell>
          <cell r="C184">
            <v>0</v>
          </cell>
          <cell r="D184">
            <v>0</v>
          </cell>
          <cell r="E184">
            <v>0</v>
          </cell>
          <cell r="F184" t="str">
            <v/>
          </cell>
          <cell r="G184" t="str">
            <v/>
          </cell>
          <cell r="H184" t="str">
            <v/>
          </cell>
        </row>
        <row r="185">
          <cell r="B185" t="str">
            <v/>
          </cell>
          <cell r="C185">
            <v>0</v>
          </cell>
          <cell r="D185">
            <v>0</v>
          </cell>
          <cell r="E185">
            <v>0</v>
          </cell>
          <cell r="F185" t="str">
            <v/>
          </cell>
          <cell r="G185" t="str">
            <v/>
          </cell>
          <cell r="H185" t="str">
            <v/>
          </cell>
        </row>
        <row r="186">
          <cell r="B186" t="str">
            <v/>
          </cell>
          <cell r="C186">
            <v>0</v>
          </cell>
          <cell r="D186">
            <v>0</v>
          </cell>
          <cell r="E186">
            <v>0</v>
          </cell>
          <cell r="F186" t="str">
            <v/>
          </cell>
          <cell r="G186" t="str">
            <v/>
          </cell>
          <cell r="H186" t="str">
            <v/>
          </cell>
        </row>
        <row r="187">
          <cell r="B187" t="str">
            <v/>
          </cell>
          <cell r="C187">
            <v>0</v>
          </cell>
          <cell r="D187">
            <v>0</v>
          </cell>
          <cell r="E187">
            <v>0</v>
          </cell>
          <cell r="F187" t="str">
            <v/>
          </cell>
          <cell r="G187" t="str">
            <v/>
          </cell>
          <cell r="H187" t="str">
            <v/>
          </cell>
        </row>
        <row r="188">
          <cell r="B188" t="str">
            <v/>
          </cell>
          <cell r="C188">
            <v>0</v>
          </cell>
          <cell r="D188">
            <v>0</v>
          </cell>
          <cell r="E188">
            <v>0</v>
          </cell>
          <cell r="F188" t="str">
            <v/>
          </cell>
          <cell r="G188" t="str">
            <v/>
          </cell>
          <cell r="H188" t="str">
            <v/>
          </cell>
        </row>
        <row r="189">
          <cell r="B189" t="str">
            <v/>
          </cell>
          <cell r="C189">
            <v>0</v>
          </cell>
          <cell r="D189">
            <v>0</v>
          </cell>
          <cell r="E189">
            <v>0</v>
          </cell>
          <cell r="F189" t="str">
            <v/>
          </cell>
          <cell r="G189" t="str">
            <v/>
          </cell>
          <cell r="H189" t="str">
            <v/>
          </cell>
        </row>
        <row r="190">
          <cell r="B190" t="str">
            <v/>
          </cell>
          <cell r="C190">
            <v>0</v>
          </cell>
          <cell r="D190">
            <v>0</v>
          </cell>
          <cell r="E190">
            <v>0</v>
          </cell>
          <cell r="F190" t="str">
            <v/>
          </cell>
          <cell r="G190" t="str">
            <v/>
          </cell>
          <cell r="H190" t="str">
            <v/>
          </cell>
        </row>
        <row r="191">
          <cell r="B191" t="str">
            <v/>
          </cell>
          <cell r="C191">
            <v>0</v>
          </cell>
          <cell r="D191">
            <v>0</v>
          </cell>
          <cell r="E191">
            <v>0</v>
          </cell>
          <cell r="F191" t="str">
            <v/>
          </cell>
          <cell r="G191" t="str">
            <v/>
          </cell>
          <cell r="H191" t="str">
            <v/>
          </cell>
        </row>
        <row r="192">
          <cell r="B192" t="str">
            <v/>
          </cell>
          <cell r="C192">
            <v>0</v>
          </cell>
          <cell r="D192">
            <v>0</v>
          </cell>
          <cell r="E192">
            <v>0</v>
          </cell>
          <cell r="F192" t="str">
            <v/>
          </cell>
          <cell r="G192" t="str">
            <v/>
          </cell>
          <cell r="H192" t="str">
            <v/>
          </cell>
        </row>
        <row r="193">
          <cell r="B193" t="str">
            <v/>
          </cell>
          <cell r="C193">
            <v>0</v>
          </cell>
          <cell r="D193">
            <v>0</v>
          </cell>
          <cell r="E193">
            <v>0</v>
          </cell>
          <cell r="F193" t="str">
            <v/>
          </cell>
          <cell r="G193" t="str">
            <v/>
          </cell>
          <cell r="H193" t="str">
            <v/>
          </cell>
        </row>
        <row r="194">
          <cell r="B194" t="str">
            <v/>
          </cell>
          <cell r="C194">
            <v>0</v>
          </cell>
          <cell r="D194">
            <v>0</v>
          </cell>
          <cell r="E194">
            <v>0</v>
          </cell>
          <cell r="F194" t="str">
            <v/>
          </cell>
          <cell r="G194" t="str">
            <v/>
          </cell>
          <cell r="H194" t="str">
            <v/>
          </cell>
        </row>
        <row r="195">
          <cell r="B195" t="str">
            <v/>
          </cell>
          <cell r="C195">
            <v>0</v>
          </cell>
          <cell r="D195">
            <v>0</v>
          </cell>
          <cell r="E195">
            <v>0</v>
          </cell>
          <cell r="F195" t="str">
            <v/>
          </cell>
          <cell r="G195" t="str">
            <v/>
          </cell>
          <cell r="H195" t="str">
            <v/>
          </cell>
        </row>
        <row r="196">
          <cell r="B196" t="str">
            <v/>
          </cell>
          <cell r="C196">
            <v>0</v>
          </cell>
          <cell r="D196">
            <v>0</v>
          </cell>
          <cell r="E196">
            <v>0</v>
          </cell>
          <cell r="F196" t="str">
            <v/>
          </cell>
          <cell r="G196" t="str">
            <v/>
          </cell>
          <cell r="H196" t="str">
            <v/>
          </cell>
        </row>
        <row r="197">
          <cell r="B197" t="str">
            <v/>
          </cell>
          <cell r="C197">
            <v>0</v>
          </cell>
          <cell r="D197">
            <v>0</v>
          </cell>
          <cell r="E197">
            <v>0</v>
          </cell>
          <cell r="F197" t="str">
            <v/>
          </cell>
          <cell r="G197" t="str">
            <v/>
          </cell>
          <cell r="H197" t="str">
            <v/>
          </cell>
        </row>
        <row r="198">
          <cell r="B198" t="str">
            <v/>
          </cell>
          <cell r="C198">
            <v>0</v>
          </cell>
          <cell r="D198">
            <v>0</v>
          </cell>
          <cell r="E198">
            <v>0</v>
          </cell>
          <cell r="F198" t="str">
            <v/>
          </cell>
          <cell r="G198" t="str">
            <v/>
          </cell>
          <cell r="H198" t="str">
            <v/>
          </cell>
        </row>
        <row r="199">
          <cell r="B199" t="str">
            <v/>
          </cell>
          <cell r="C199">
            <v>0</v>
          </cell>
          <cell r="D199">
            <v>0</v>
          </cell>
          <cell r="E199">
            <v>0</v>
          </cell>
          <cell r="F199" t="str">
            <v/>
          </cell>
          <cell r="G199" t="str">
            <v/>
          </cell>
          <cell r="H199" t="str">
            <v/>
          </cell>
        </row>
        <row r="200">
          <cell r="B200" t="str">
            <v/>
          </cell>
          <cell r="C200">
            <v>0</v>
          </cell>
          <cell r="D200">
            <v>0</v>
          </cell>
          <cell r="E200">
            <v>0</v>
          </cell>
          <cell r="F200" t="str">
            <v/>
          </cell>
          <cell r="G200" t="str">
            <v/>
          </cell>
          <cell r="H200" t="str">
            <v/>
          </cell>
        </row>
        <row r="201">
          <cell r="B201" t="str">
            <v/>
          </cell>
          <cell r="C201">
            <v>0</v>
          </cell>
          <cell r="D201">
            <v>0</v>
          </cell>
          <cell r="E201">
            <v>0</v>
          </cell>
          <cell r="F201" t="str">
            <v/>
          </cell>
          <cell r="G201" t="str">
            <v/>
          </cell>
          <cell r="H201" t="str">
            <v/>
          </cell>
        </row>
        <row r="202">
          <cell r="B202" t="str">
            <v/>
          </cell>
          <cell r="C202">
            <v>0</v>
          </cell>
          <cell r="D202">
            <v>0</v>
          </cell>
          <cell r="E202">
            <v>0</v>
          </cell>
          <cell r="F202" t="str">
            <v/>
          </cell>
          <cell r="G202" t="str">
            <v/>
          </cell>
          <cell r="H202" t="str">
            <v/>
          </cell>
        </row>
        <row r="203">
          <cell r="B203" t="str">
            <v/>
          </cell>
          <cell r="C203">
            <v>0</v>
          </cell>
          <cell r="D203">
            <v>0</v>
          </cell>
          <cell r="E203">
            <v>0</v>
          </cell>
          <cell r="F203" t="str">
            <v/>
          </cell>
          <cell r="G203" t="str">
            <v/>
          </cell>
          <cell r="H203" t="str">
            <v/>
          </cell>
        </row>
        <row r="204">
          <cell r="B204" t="str">
            <v/>
          </cell>
          <cell r="C204">
            <v>0</v>
          </cell>
          <cell r="D204">
            <v>0</v>
          </cell>
          <cell r="E204">
            <v>0</v>
          </cell>
          <cell r="F204" t="str">
            <v/>
          </cell>
          <cell r="G204" t="str">
            <v/>
          </cell>
          <cell r="H204" t="str">
            <v/>
          </cell>
        </row>
        <row r="205">
          <cell r="B205" t="str">
            <v/>
          </cell>
          <cell r="C205">
            <v>0</v>
          </cell>
          <cell r="D205">
            <v>0</v>
          </cell>
          <cell r="E205">
            <v>0</v>
          </cell>
          <cell r="F205" t="str">
            <v/>
          </cell>
          <cell r="G205" t="str">
            <v/>
          </cell>
          <cell r="H205" t="str">
            <v/>
          </cell>
        </row>
        <row r="206">
          <cell r="B206" t="str">
            <v/>
          </cell>
          <cell r="C206">
            <v>0</v>
          </cell>
          <cell r="D206">
            <v>0</v>
          </cell>
          <cell r="E206">
            <v>0</v>
          </cell>
          <cell r="F206" t="str">
            <v/>
          </cell>
          <cell r="G206" t="str">
            <v/>
          </cell>
          <cell r="H206" t="str">
            <v/>
          </cell>
        </row>
        <row r="207">
          <cell r="B207" t="str">
            <v/>
          </cell>
          <cell r="C207">
            <v>0</v>
          </cell>
          <cell r="D207">
            <v>0</v>
          </cell>
          <cell r="E207">
            <v>0</v>
          </cell>
          <cell r="F207" t="str">
            <v/>
          </cell>
          <cell r="G207" t="str">
            <v/>
          </cell>
          <cell r="H207" t="str">
            <v/>
          </cell>
        </row>
        <row r="208">
          <cell r="B208" t="str">
            <v/>
          </cell>
          <cell r="C208">
            <v>0</v>
          </cell>
          <cell r="D208">
            <v>0</v>
          </cell>
          <cell r="E208">
            <v>0</v>
          </cell>
          <cell r="F208" t="str">
            <v/>
          </cell>
          <cell r="G208" t="str">
            <v/>
          </cell>
          <cell r="H208" t="str">
            <v/>
          </cell>
        </row>
        <row r="209">
          <cell r="B209" t="str">
            <v/>
          </cell>
          <cell r="C209">
            <v>0</v>
          </cell>
          <cell r="D209">
            <v>0</v>
          </cell>
          <cell r="E209">
            <v>0</v>
          </cell>
          <cell r="F209" t="str">
            <v/>
          </cell>
          <cell r="G209" t="str">
            <v/>
          </cell>
          <cell r="H209" t="str">
            <v/>
          </cell>
        </row>
        <row r="210">
          <cell r="B210" t="str">
            <v/>
          </cell>
          <cell r="C210">
            <v>0</v>
          </cell>
          <cell r="D210">
            <v>0</v>
          </cell>
          <cell r="E210">
            <v>0</v>
          </cell>
          <cell r="F210" t="str">
            <v/>
          </cell>
          <cell r="G210" t="str">
            <v/>
          </cell>
          <cell r="H210" t="str">
            <v/>
          </cell>
        </row>
        <row r="211">
          <cell r="B211" t="str">
            <v/>
          </cell>
          <cell r="C211">
            <v>0</v>
          </cell>
          <cell r="D211">
            <v>0</v>
          </cell>
          <cell r="E211">
            <v>0</v>
          </cell>
          <cell r="F211" t="str">
            <v/>
          </cell>
          <cell r="G211" t="str">
            <v/>
          </cell>
          <cell r="H211" t="str">
            <v/>
          </cell>
        </row>
        <row r="212">
          <cell r="B212" t="str">
            <v/>
          </cell>
          <cell r="C212">
            <v>0</v>
          </cell>
          <cell r="D212">
            <v>0</v>
          </cell>
          <cell r="E212">
            <v>0</v>
          </cell>
          <cell r="F212" t="str">
            <v/>
          </cell>
          <cell r="G212" t="str">
            <v/>
          </cell>
          <cell r="H212" t="str">
            <v/>
          </cell>
        </row>
        <row r="213">
          <cell r="B213" t="str">
            <v/>
          </cell>
          <cell r="C213">
            <v>0</v>
          </cell>
          <cell r="D213">
            <v>0</v>
          </cell>
          <cell r="E213">
            <v>0</v>
          </cell>
          <cell r="F213" t="str">
            <v/>
          </cell>
          <cell r="G213" t="str">
            <v/>
          </cell>
          <cell r="H213" t="str">
            <v/>
          </cell>
        </row>
        <row r="214">
          <cell r="B214" t="str">
            <v/>
          </cell>
          <cell r="C214">
            <v>0</v>
          </cell>
          <cell r="D214">
            <v>0</v>
          </cell>
          <cell r="E214">
            <v>0</v>
          </cell>
          <cell r="F214" t="str">
            <v/>
          </cell>
          <cell r="G214" t="str">
            <v/>
          </cell>
          <cell r="H214" t="str">
            <v/>
          </cell>
        </row>
        <row r="215">
          <cell r="B215" t="str">
            <v/>
          </cell>
          <cell r="C215">
            <v>0</v>
          </cell>
          <cell r="D215">
            <v>0</v>
          </cell>
          <cell r="E215">
            <v>0</v>
          </cell>
          <cell r="F215" t="str">
            <v/>
          </cell>
          <cell r="G215" t="str">
            <v/>
          </cell>
          <cell r="H215" t="str">
            <v/>
          </cell>
        </row>
        <row r="216">
          <cell r="B216" t="str">
            <v/>
          </cell>
          <cell r="C216">
            <v>0</v>
          </cell>
          <cell r="D216">
            <v>0</v>
          </cell>
          <cell r="E216">
            <v>0</v>
          </cell>
          <cell r="F216" t="str">
            <v/>
          </cell>
          <cell r="G216" t="str">
            <v/>
          </cell>
          <cell r="H216" t="str">
            <v/>
          </cell>
        </row>
        <row r="217">
          <cell r="B217" t="str">
            <v/>
          </cell>
          <cell r="C217">
            <v>0</v>
          </cell>
          <cell r="D217">
            <v>0</v>
          </cell>
          <cell r="E217">
            <v>0</v>
          </cell>
          <cell r="F217" t="str">
            <v/>
          </cell>
          <cell r="G217" t="str">
            <v/>
          </cell>
          <cell r="H217" t="str">
            <v/>
          </cell>
        </row>
        <row r="218">
          <cell r="B218" t="str">
            <v/>
          </cell>
          <cell r="C218">
            <v>0</v>
          </cell>
          <cell r="D218">
            <v>0</v>
          </cell>
          <cell r="E218">
            <v>0</v>
          </cell>
          <cell r="F218" t="str">
            <v/>
          </cell>
          <cell r="G218" t="str">
            <v/>
          </cell>
          <cell r="H218" t="str">
            <v/>
          </cell>
        </row>
        <row r="219">
          <cell r="B219" t="str">
            <v/>
          </cell>
          <cell r="C219">
            <v>0</v>
          </cell>
          <cell r="D219">
            <v>0</v>
          </cell>
          <cell r="E219">
            <v>0</v>
          </cell>
          <cell r="F219" t="str">
            <v/>
          </cell>
          <cell r="G219" t="str">
            <v/>
          </cell>
          <cell r="H219" t="str">
            <v/>
          </cell>
        </row>
        <row r="220">
          <cell r="B220" t="str">
            <v/>
          </cell>
          <cell r="C220">
            <v>0</v>
          </cell>
          <cell r="D220">
            <v>0</v>
          </cell>
          <cell r="E220">
            <v>0</v>
          </cell>
          <cell r="F220" t="str">
            <v/>
          </cell>
          <cell r="G220" t="str">
            <v/>
          </cell>
          <cell r="H220" t="str">
            <v/>
          </cell>
        </row>
        <row r="221">
          <cell r="B221" t="str">
            <v/>
          </cell>
          <cell r="C221">
            <v>0</v>
          </cell>
          <cell r="D221">
            <v>0</v>
          </cell>
          <cell r="E221">
            <v>0</v>
          </cell>
          <cell r="F221" t="str">
            <v/>
          </cell>
          <cell r="G221" t="str">
            <v/>
          </cell>
          <cell r="H221" t="str">
            <v/>
          </cell>
        </row>
        <row r="222">
          <cell r="B222" t="str">
            <v/>
          </cell>
          <cell r="C222">
            <v>0</v>
          </cell>
          <cell r="D222">
            <v>0</v>
          </cell>
          <cell r="E222">
            <v>0</v>
          </cell>
          <cell r="F222" t="str">
            <v/>
          </cell>
          <cell r="G222" t="str">
            <v/>
          </cell>
          <cell r="H222" t="str">
            <v/>
          </cell>
        </row>
        <row r="223">
          <cell r="B223" t="str">
            <v/>
          </cell>
          <cell r="C223">
            <v>0</v>
          </cell>
          <cell r="D223">
            <v>0</v>
          </cell>
          <cell r="E223">
            <v>0</v>
          </cell>
          <cell r="F223" t="str">
            <v/>
          </cell>
          <cell r="G223" t="str">
            <v/>
          </cell>
          <cell r="H223" t="str">
            <v/>
          </cell>
        </row>
        <row r="224">
          <cell r="B224" t="str">
            <v/>
          </cell>
          <cell r="C224">
            <v>0</v>
          </cell>
          <cell r="D224">
            <v>0</v>
          </cell>
          <cell r="E224">
            <v>0</v>
          </cell>
          <cell r="F224" t="str">
            <v/>
          </cell>
          <cell r="G224" t="str">
            <v/>
          </cell>
          <cell r="H224" t="str">
            <v/>
          </cell>
        </row>
        <row r="225">
          <cell r="B225" t="str">
            <v/>
          </cell>
          <cell r="C225">
            <v>0</v>
          </cell>
          <cell r="D225">
            <v>0</v>
          </cell>
          <cell r="E225">
            <v>0</v>
          </cell>
          <cell r="F225" t="str">
            <v/>
          </cell>
          <cell r="G225" t="str">
            <v/>
          </cell>
          <cell r="H225" t="str">
            <v/>
          </cell>
        </row>
        <row r="226">
          <cell r="B226" t="str">
            <v/>
          </cell>
          <cell r="C226">
            <v>0</v>
          </cell>
          <cell r="D226">
            <v>0</v>
          </cell>
          <cell r="E226">
            <v>0</v>
          </cell>
          <cell r="F226" t="str">
            <v/>
          </cell>
          <cell r="G226" t="str">
            <v/>
          </cell>
          <cell r="H226" t="str">
            <v/>
          </cell>
        </row>
        <row r="227">
          <cell r="B227" t="str">
            <v/>
          </cell>
          <cell r="C227">
            <v>0</v>
          </cell>
          <cell r="D227">
            <v>0</v>
          </cell>
          <cell r="E227">
            <v>0</v>
          </cell>
          <cell r="F227" t="str">
            <v/>
          </cell>
          <cell r="G227" t="str">
            <v/>
          </cell>
          <cell r="H227" t="str">
            <v/>
          </cell>
        </row>
        <row r="228">
          <cell r="B228" t="str">
            <v/>
          </cell>
          <cell r="C228">
            <v>0</v>
          </cell>
          <cell r="D228">
            <v>0</v>
          </cell>
          <cell r="E228">
            <v>0</v>
          </cell>
          <cell r="F228" t="str">
            <v/>
          </cell>
          <cell r="G228" t="str">
            <v/>
          </cell>
          <cell r="H228" t="str">
            <v/>
          </cell>
        </row>
        <row r="229">
          <cell r="B229" t="str">
            <v/>
          </cell>
          <cell r="C229">
            <v>0</v>
          </cell>
          <cell r="D229">
            <v>0</v>
          </cell>
          <cell r="E229">
            <v>0</v>
          </cell>
          <cell r="F229" t="str">
            <v/>
          </cell>
          <cell r="G229" t="str">
            <v/>
          </cell>
          <cell r="H229" t="str">
            <v/>
          </cell>
        </row>
        <row r="230">
          <cell r="B230" t="str">
            <v/>
          </cell>
          <cell r="C230">
            <v>0</v>
          </cell>
          <cell r="D230">
            <v>0</v>
          </cell>
          <cell r="E230">
            <v>0</v>
          </cell>
          <cell r="F230" t="str">
            <v/>
          </cell>
          <cell r="G230" t="str">
            <v/>
          </cell>
          <cell r="H230" t="str">
            <v/>
          </cell>
        </row>
        <row r="231">
          <cell r="B231" t="str">
            <v/>
          </cell>
          <cell r="C231">
            <v>0</v>
          </cell>
          <cell r="D231">
            <v>0</v>
          </cell>
          <cell r="E231">
            <v>0</v>
          </cell>
          <cell r="F231" t="str">
            <v/>
          </cell>
          <cell r="G231" t="str">
            <v/>
          </cell>
          <cell r="H231" t="str">
            <v/>
          </cell>
        </row>
        <row r="232">
          <cell r="B232" t="str">
            <v/>
          </cell>
          <cell r="C232">
            <v>0</v>
          </cell>
          <cell r="D232">
            <v>0</v>
          </cell>
          <cell r="E232">
            <v>0</v>
          </cell>
          <cell r="F232" t="str">
            <v/>
          </cell>
          <cell r="G232" t="str">
            <v/>
          </cell>
          <cell r="H232" t="str">
            <v/>
          </cell>
        </row>
        <row r="233">
          <cell r="B233" t="str">
            <v/>
          </cell>
          <cell r="C233">
            <v>0</v>
          </cell>
          <cell r="D233">
            <v>0</v>
          </cell>
          <cell r="E233">
            <v>0</v>
          </cell>
          <cell r="F233" t="str">
            <v/>
          </cell>
          <cell r="G233" t="str">
            <v/>
          </cell>
          <cell r="H233" t="str">
            <v/>
          </cell>
        </row>
        <row r="234">
          <cell r="B234" t="str">
            <v/>
          </cell>
          <cell r="C234">
            <v>0</v>
          </cell>
          <cell r="D234">
            <v>0</v>
          </cell>
          <cell r="E234">
            <v>0</v>
          </cell>
          <cell r="F234" t="str">
            <v/>
          </cell>
          <cell r="G234" t="str">
            <v/>
          </cell>
          <cell r="H234" t="str">
            <v/>
          </cell>
        </row>
        <row r="235">
          <cell r="B235" t="str">
            <v/>
          </cell>
          <cell r="C235">
            <v>0</v>
          </cell>
          <cell r="D235">
            <v>0</v>
          </cell>
          <cell r="E235">
            <v>0</v>
          </cell>
          <cell r="F235" t="str">
            <v/>
          </cell>
          <cell r="G235" t="str">
            <v/>
          </cell>
          <cell r="H235" t="str">
            <v/>
          </cell>
        </row>
        <row r="236">
          <cell r="B236" t="str">
            <v/>
          </cell>
          <cell r="C236">
            <v>0</v>
          </cell>
          <cell r="D236">
            <v>0</v>
          </cell>
          <cell r="E236">
            <v>0</v>
          </cell>
          <cell r="F236" t="str">
            <v/>
          </cell>
          <cell r="G236" t="str">
            <v/>
          </cell>
          <cell r="H236" t="str">
            <v/>
          </cell>
        </row>
        <row r="237">
          <cell r="B237" t="str">
            <v/>
          </cell>
          <cell r="C237">
            <v>0</v>
          </cell>
          <cell r="D237">
            <v>0</v>
          </cell>
          <cell r="E237">
            <v>0</v>
          </cell>
          <cell r="F237" t="str">
            <v/>
          </cell>
          <cell r="G237" t="str">
            <v/>
          </cell>
          <cell r="H237" t="str">
            <v/>
          </cell>
        </row>
        <row r="238">
          <cell r="B238" t="str">
            <v/>
          </cell>
          <cell r="C238">
            <v>0</v>
          </cell>
          <cell r="D238">
            <v>0</v>
          </cell>
          <cell r="E238">
            <v>0</v>
          </cell>
          <cell r="F238" t="str">
            <v/>
          </cell>
          <cell r="G238" t="str">
            <v/>
          </cell>
          <cell r="H238" t="str">
            <v/>
          </cell>
        </row>
        <row r="239">
          <cell r="B239" t="str">
            <v/>
          </cell>
          <cell r="C239">
            <v>0</v>
          </cell>
          <cell r="D239">
            <v>0</v>
          </cell>
          <cell r="E239">
            <v>0</v>
          </cell>
          <cell r="F239" t="str">
            <v/>
          </cell>
          <cell r="G239" t="str">
            <v/>
          </cell>
          <cell r="H239" t="str">
            <v/>
          </cell>
        </row>
        <row r="240">
          <cell r="B240" t="str">
            <v/>
          </cell>
          <cell r="C240">
            <v>0</v>
          </cell>
          <cell r="D240">
            <v>0</v>
          </cell>
          <cell r="E240">
            <v>0</v>
          </cell>
          <cell r="F240" t="str">
            <v/>
          </cell>
          <cell r="G240" t="str">
            <v/>
          </cell>
          <cell r="H240" t="str">
            <v/>
          </cell>
        </row>
        <row r="241">
          <cell r="B241" t="str">
            <v/>
          </cell>
          <cell r="C241">
            <v>0</v>
          </cell>
          <cell r="D241">
            <v>0</v>
          </cell>
          <cell r="E241">
            <v>0</v>
          </cell>
          <cell r="F241" t="str">
            <v/>
          </cell>
          <cell r="G241" t="str">
            <v/>
          </cell>
          <cell r="H241" t="str">
            <v/>
          </cell>
        </row>
        <row r="242">
          <cell r="B242" t="str">
            <v/>
          </cell>
          <cell r="C242">
            <v>0</v>
          </cell>
          <cell r="D242">
            <v>0</v>
          </cell>
          <cell r="E242">
            <v>0</v>
          </cell>
          <cell r="F242" t="str">
            <v/>
          </cell>
          <cell r="G242" t="str">
            <v/>
          </cell>
          <cell r="H242" t="str">
            <v/>
          </cell>
        </row>
        <row r="243">
          <cell r="B243" t="str">
            <v/>
          </cell>
          <cell r="C243">
            <v>0</v>
          </cell>
          <cell r="D243">
            <v>0</v>
          </cell>
          <cell r="E243">
            <v>0</v>
          </cell>
          <cell r="F243" t="str">
            <v/>
          </cell>
          <cell r="G243" t="str">
            <v/>
          </cell>
          <cell r="H243" t="str">
            <v/>
          </cell>
        </row>
        <row r="244">
          <cell r="B244" t="str">
            <v/>
          </cell>
          <cell r="C244">
            <v>0</v>
          </cell>
          <cell r="D244">
            <v>0</v>
          </cell>
          <cell r="E244">
            <v>0</v>
          </cell>
          <cell r="F244" t="str">
            <v/>
          </cell>
          <cell r="G244" t="str">
            <v/>
          </cell>
          <cell r="H244" t="str">
            <v/>
          </cell>
        </row>
        <row r="245">
          <cell r="B245" t="str">
            <v/>
          </cell>
          <cell r="C245">
            <v>0</v>
          </cell>
          <cell r="D245">
            <v>0</v>
          </cell>
          <cell r="E245">
            <v>0</v>
          </cell>
          <cell r="F245" t="str">
            <v/>
          </cell>
          <cell r="G245" t="str">
            <v/>
          </cell>
          <cell r="H245" t="str">
            <v/>
          </cell>
        </row>
        <row r="246">
          <cell r="B246" t="str">
            <v/>
          </cell>
          <cell r="C246">
            <v>0</v>
          </cell>
          <cell r="D246">
            <v>0</v>
          </cell>
          <cell r="E246">
            <v>0</v>
          </cell>
          <cell r="F246" t="str">
            <v/>
          </cell>
          <cell r="G246" t="str">
            <v/>
          </cell>
          <cell r="H246" t="str">
            <v/>
          </cell>
        </row>
        <row r="247">
          <cell r="B247" t="str">
            <v/>
          </cell>
          <cell r="C247">
            <v>0</v>
          </cell>
          <cell r="D247">
            <v>0</v>
          </cell>
          <cell r="E247">
            <v>0</v>
          </cell>
          <cell r="F247" t="str">
            <v/>
          </cell>
          <cell r="G247" t="str">
            <v/>
          </cell>
          <cell r="H247" t="str">
            <v/>
          </cell>
        </row>
        <row r="248">
          <cell r="B248" t="str">
            <v/>
          </cell>
          <cell r="C248">
            <v>0</v>
          </cell>
          <cell r="D248">
            <v>0</v>
          </cell>
          <cell r="E248">
            <v>0</v>
          </cell>
          <cell r="F248" t="str">
            <v/>
          </cell>
          <cell r="G248" t="str">
            <v/>
          </cell>
          <cell r="H248" t="str">
            <v/>
          </cell>
        </row>
        <row r="249">
          <cell r="B249" t="str">
            <v/>
          </cell>
          <cell r="C249">
            <v>0</v>
          </cell>
          <cell r="D249">
            <v>0</v>
          </cell>
          <cell r="E249">
            <v>0</v>
          </cell>
          <cell r="F249" t="str">
            <v/>
          </cell>
          <cell r="G249" t="str">
            <v/>
          </cell>
          <cell r="H249" t="str">
            <v/>
          </cell>
        </row>
        <row r="250">
          <cell r="B250" t="str">
            <v/>
          </cell>
          <cell r="C250">
            <v>0</v>
          </cell>
          <cell r="D250">
            <v>0</v>
          </cell>
          <cell r="E250">
            <v>0</v>
          </cell>
          <cell r="F250" t="str">
            <v/>
          </cell>
          <cell r="G250" t="str">
            <v/>
          </cell>
          <cell r="H250" t="str">
            <v/>
          </cell>
        </row>
        <row r="251">
          <cell r="B251" t="str">
            <v/>
          </cell>
          <cell r="C251">
            <v>0</v>
          </cell>
          <cell r="D251">
            <v>0</v>
          </cell>
          <cell r="E251">
            <v>0</v>
          </cell>
          <cell r="F251" t="str">
            <v/>
          </cell>
          <cell r="G251" t="str">
            <v/>
          </cell>
          <cell r="H251" t="str">
            <v/>
          </cell>
        </row>
        <row r="252">
          <cell r="B252" t="str">
            <v/>
          </cell>
          <cell r="C252">
            <v>0</v>
          </cell>
          <cell r="D252">
            <v>0</v>
          </cell>
          <cell r="E252">
            <v>0</v>
          </cell>
          <cell r="F252" t="str">
            <v/>
          </cell>
          <cell r="G252" t="str">
            <v/>
          </cell>
          <cell r="H252" t="str">
            <v/>
          </cell>
        </row>
        <row r="253">
          <cell r="B253" t="str">
            <v/>
          </cell>
          <cell r="C253">
            <v>0</v>
          </cell>
          <cell r="D253">
            <v>0</v>
          </cell>
          <cell r="E253">
            <v>0</v>
          </cell>
          <cell r="F253" t="str">
            <v/>
          </cell>
          <cell r="G253" t="str">
            <v/>
          </cell>
          <cell r="H253" t="str">
            <v/>
          </cell>
        </row>
        <row r="254">
          <cell r="B254" t="str">
            <v/>
          </cell>
          <cell r="C254">
            <v>0</v>
          </cell>
          <cell r="D254">
            <v>0</v>
          </cell>
          <cell r="E254">
            <v>0</v>
          </cell>
          <cell r="F254" t="str">
            <v/>
          </cell>
          <cell r="G254" t="str">
            <v/>
          </cell>
          <cell r="H254" t="str">
            <v/>
          </cell>
        </row>
        <row r="255">
          <cell r="B255" t="str">
            <v/>
          </cell>
          <cell r="C255">
            <v>0</v>
          </cell>
          <cell r="D255">
            <v>0</v>
          </cell>
          <cell r="E255">
            <v>0</v>
          </cell>
          <cell r="F255" t="str">
            <v/>
          </cell>
          <cell r="G255" t="str">
            <v/>
          </cell>
          <cell r="H255" t="str">
            <v/>
          </cell>
        </row>
        <row r="256">
          <cell r="B256" t="str">
            <v/>
          </cell>
          <cell r="C256">
            <v>0</v>
          </cell>
          <cell r="D256">
            <v>0</v>
          </cell>
          <cell r="E256">
            <v>0</v>
          </cell>
          <cell r="F256" t="str">
            <v/>
          </cell>
          <cell r="G256" t="str">
            <v/>
          </cell>
          <cell r="H256" t="str">
            <v/>
          </cell>
        </row>
        <row r="257">
          <cell r="B257" t="str">
            <v/>
          </cell>
          <cell r="C257">
            <v>0</v>
          </cell>
          <cell r="D257">
            <v>0</v>
          </cell>
          <cell r="E257">
            <v>0</v>
          </cell>
          <cell r="F257" t="str">
            <v/>
          </cell>
          <cell r="G257" t="str">
            <v/>
          </cell>
          <cell r="H257" t="str">
            <v/>
          </cell>
        </row>
        <row r="258">
          <cell r="B258" t="str">
            <v/>
          </cell>
          <cell r="C258">
            <v>0</v>
          </cell>
          <cell r="D258">
            <v>0</v>
          </cell>
          <cell r="E258">
            <v>0</v>
          </cell>
          <cell r="F258" t="str">
            <v/>
          </cell>
          <cell r="G258" t="str">
            <v/>
          </cell>
          <cell r="H258" t="str">
            <v/>
          </cell>
        </row>
        <row r="259">
          <cell r="B259" t="str">
            <v/>
          </cell>
          <cell r="C259">
            <v>0</v>
          </cell>
          <cell r="D259">
            <v>0</v>
          </cell>
          <cell r="E259">
            <v>0</v>
          </cell>
          <cell r="F259" t="str">
            <v/>
          </cell>
          <cell r="G259" t="str">
            <v/>
          </cell>
          <cell r="H259" t="str">
            <v/>
          </cell>
        </row>
        <row r="260">
          <cell r="B260" t="str">
            <v/>
          </cell>
          <cell r="C260">
            <v>0</v>
          </cell>
          <cell r="D260">
            <v>0</v>
          </cell>
          <cell r="E260">
            <v>0</v>
          </cell>
          <cell r="F260" t="str">
            <v/>
          </cell>
          <cell r="G260" t="str">
            <v/>
          </cell>
          <cell r="H260" t="str">
            <v/>
          </cell>
        </row>
        <row r="261">
          <cell r="B261" t="str">
            <v/>
          </cell>
          <cell r="C261">
            <v>0</v>
          </cell>
          <cell r="D261">
            <v>0</v>
          </cell>
          <cell r="E261">
            <v>0</v>
          </cell>
          <cell r="F261" t="str">
            <v/>
          </cell>
          <cell r="G261" t="str">
            <v/>
          </cell>
          <cell r="H261" t="str">
            <v/>
          </cell>
        </row>
        <row r="262">
          <cell r="B262" t="str">
            <v/>
          </cell>
          <cell r="C262">
            <v>0</v>
          </cell>
          <cell r="D262">
            <v>0</v>
          </cell>
          <cell r="E262">
            <v>0</v>
          </cell>
          <cell r="F262" t="str">
            <v/>
          </cell>
          <cell r="G262" t="str">
            <v/>
          </cell>
          <cell r="H262" t="str">
            <v/>
          </cell>
        </row>
        <row r="263">
          <cell r="B263" t="str">
            <v/>
          </cell>
          <cell r="C263">
            <v>0</v>
          </cell>
          <cell r="D263">
            <v>0</v>
          </cell>
          <cell r="E263">
            <v>0</v>
          </cell>
          <cell r="F263" t="str">
            <v/>
          </cell>
          <cell r="G263" t="str">
            <v/>
          </cell>
          <cell r="H263" t="str">
            <v/>
          </cell>
        </row>
        <row r="264">
          <cell r="B264" t="str">
            <v/>
          </cell>
          <cell r="C264">
            <v>0</v>
          </cell>
          <cell r="D264">
            <v>0</v>
          </cell>
          <cell r="E264">
            <v>0</v>
          </cell>
          <cell r="F264" t="str">
            <v/>
          </cell>
          <cell r="G264" t="str">
            <v/>
          </cell>
          <cell r="H264" t="str">
            <v/>
          </cell>
        </row>
        <row r="265">
          <cell r="B265" t="str">
            <v/>
          </cell>
          <cell r="C265">
            <v>0</v>
          </cell>
          <cell r="D265">
            <v>0</v>
          </cell>
          <cell r="E265">
            <v>0</v>
          </cell>
          <cell r="F265" t="str">
            <v/>
          </cell>
          <cell r="G265" t="str">
            <v/>
          </cell>
          <cell r="H265" t="str">
            <v/>
          </cell>
        </row>
        <row r="266">
          <cell r="B266" t="str">
            <v/>
          </cell>
          <cell r="C266">
            <v>0</v>
          </cell>
          <cell r="D266">
            <v>0</v>
          </cell>
          <cell r="E266">
            <v>0</v>
          </cell>
          <cell r="F266" t="str">
            <v/>
          </cell>
          <cell r="G266" t="str">
            <v/>
          </cell>
          <cell r="H266" t="str">
            <v/>
          </cell>
        </row>
        <row r="267">
          <cell r="B267" t="str">
            <v/>
          </cell>
          <cell r="C267">
            <v>0</v>
          </cell>
          <cell r="D267">
            <v>0</v>
          </cell>
          <cell r="E267">
            <v>0</v>
          </cell>
          <cell r="F267" t="str">
            <v/>
          </cell>
          <cell r="G267" t="str">
            <v/>
          </cell>
          <cell r="H267" t="str">
            <v/>
          </cell>
        </row>
        <row r="268">
          <cell r="B268" t="str">
            <v/>
          </cell>
          <cell r="C268">
            <v>0</v>
          </cell>
          <cell r="D268">
            <v>0</v>
          </cell>
          <cell r="E268">
            <v>0</v>
          </cell>
          <cell r="F268" t="str">
            <v/>
          </cell>
          <cell r="G268" t="str">
            <v/>
          </cell>
          <cell r="H268" t="str">
            <v/>
          </cell>
        </row>
        <row r="269">
          <cell r="B269" t="str">
            <v/>
          </cell>
          <cell r="C269">
            <v>0</v>
          </cell>
          <cell r="D269">
            <v>0</v>
          </cell>
          <cell r="E269">
            <v>0</v>
          </cell>
          <cell r="F269" t="str">
            <v/>
          </cell>
          <cell r="G269" t="str">
            <v/>
          </cell>
          <cell r="H269" t="str">
            <v/>
          </cell>
        </row>
        <row r="270">
          <cell r="B270" t="str">
            <v/>
          </cell>
          <cell r="C270">
            <v>0</v>
          </cell>
          <cell r="D270">
            <v>0</v>
          </cell>
          <cell r="E270">
            <v>0</v>
          </cell>
          <cell r="F270" t="str">
            <v/>
          </cell>
          <cell r="G270" t="str">
            <v/>
          </cell>
          <cell r="H270" t="str">
            <v/>
          </cell>
        </row>
        <row r="271">
          <cell r="B271" t="str">
            <v/>
          </cell>
          <cell r="C271">
            <v>0</v>
          </cell>
          <cell r="D271">
            <v>0</v>
          </cell>
          <cell r="E271">
            <v>0</v>
          </cell>
          <cell r="F271" t="str">
            <v/>
          </cell>
          <cell r="G271" t="str">
            <v/>
          </cell>
          <cell r="H271" t="str">
            <v/>
          </cell>
        </row>
        <row r="272">
          <cell r="B272" t="str">
            <v/>
          </cell>
          <cell r="C272">
            <v>0</v>
          </cell>
          <cell r="D272">
            <v>0</v>
          </cell>
          <cell r="E272">
            <v>0</v>
          </cell>
          <cell r="F272" t="str">
            <v/>
          </cell>
          <cell r="G272" t="str">
            <v/>
          </cell>
          <cell r="H272" t="str">
            <v/>
          </cell>
        </row>
        <row r="273">
          <cell r="B273" t="str">
            <v/>
          </cell>
          <cell r="C273">
            <v>0</v>
          </cell>
          <cell r="D273">
            <v>0</v>
          </cell>
          <cell r="E273">
            <v>0</v>
          </cell>
          <cell r="F273" t="str">
            <v/>
          </cell>
          <cell r="G273" t="str">
            <v/>
          </cell>
          <cell r="H273" t="str">
            <v/>
          </cell>
        </row>
        <row r="274">
          <cell r="B274" t="str">
            <v/>
          </cell>
          <cell r="C274">
            <v>0</v>
          </cell>
          <cell r="D274">
            <v>0</v>
          </cell>
          <cell r="E274">
            <v>0</v>
          </cell>
          <cell r="F274" t="str">
            <v/>
          </cell>
          <cell r="G274" t="str">
            <v/>
          </cell>
          <cell r="H274" t="str">
            <v/>
          </cell>
        </row>
        <row r="275">
          <cell r="B275" t="str">
            <v/>
          </cell>
          <cell r="C275">
            <v>0</v>
          </cell>
          <cell r="D275">
            <v>0</v>
          </cell>
          <cell r="E275">
            <v>0</v>
          </cell>
          <cell r="F275" t="str">
            <v/>
          </cell>
          <cell r="G275" t="str">
            <v/>
          </cell>
          <cell r="H275" t="str">
            <v/>
          </cell>
        </row>
        <row r="276">
          <cell r="B276" t="str">
            <v/>
          </cell>
          <cell r="C276">
            <v>0</v>
          </cell>
          <cell r="D276">
            <v>0</v>
          </cell>
          <cell r="E276">
            <v>0</v>
          </cell>
          <cell r="F276" t="str">
            <v/>
          </cell>
          <cell r="G276" t="str">
            <v/>
          </cell>
          <cell r="H276" t="str">
            <v/>
          </cell>
        </row>
        <row r="277">
          <cell r="B277" t="str">
            <v/>
          </cell>
          <cell r="C277">
            <v>0</v>
          </cell>
          <cell r="D277">
            <v>0</v>
          </cell>
          <cell r="E277">
            <v>0</v>
          </cell>
          <cell r="F277" t="str">
            <v/>
          </cell>
          <cell r="G277" t="str">
            <v/>
          </cell>
          <cell r="H277" t="str">
            <v/>
          </cell>
        </row>
        <row r="278">
          <cell r="B278" t="str">
            <v/>
          </cell>
          <cell r="C278">
            <v>0</v>
          </cell>
          <cell r="D278">
            <v>0</v>
          </cell>
          <cell r="E278">
            <v>0</v>
          </cell>
          <cell r="F278" t="str">
            <v/>
          </cell>
          <cell r="G278" t="str">
            <v/>
          </cell>
          <cell r="H278" t="str">
            <v/>
          </cell>
        </row>
        <row r="279">
          <cell r="B279" t="str">
            <v/>
          </cell>
          <cell r="C279">
            <v>0</v>
          </cell>
          <cell r="D279">
            <v>0</v>
          </cell>
          <cell r="E279">
            <v>0</v>
          </cell>
          <cell r="F279" t="str">
            <v/>
          </cell>
          <cell r="G279" t="str">
            <v/>
          </cell>
          <cell r="H279" t="str">
            <v/>
          </cell>
        </row>
        <row r="280">
          <cell r="B280" t="str">
            <v/>
          </cell>
          <cell r="C280">
            <v>0</v>
          </cell>
          <cell r="D280">
            <v>0</v>
          </cell>
          <cell r="E280">
            <v>0</v>
          </cell>
          <cell r="F280" t="str">
            <v/>
          </cell>
          <cell r="G280" t="str">
            <v/>
          </cell>
          <cell r="H280" t="str">
            <v/>
          </cell>
        </row>
        <row r="281">
          <cell r="B281" t="str">
            <v/>
          </cell>
          <cell r="C281">
            <v>0</v>
          </cell>
          <cell r="D281">
            <v>0</v>
          </cell>
          <cell r="E281">
            <v>0</v>
          </cell>
          <cell r="F281" t="str">
            <v/>
          </cell>
          <cell r="G281" t="str">
            <v/>
          </cell>
          <cell r="H281" t="str">
            <v/>
          </cell>
        </row>
        <row r="282">
          <cell r="B282" t="str">
            <v/>
          </cell>
          <cell r="C282">
            <v>0</v>
          </cell>
          <cell r="D282">
            <v>0</v>
          </cell>
          <cell r="E282">
            <v>0</v>
          </cell>
          <cell r="F282" t="str">
            <v/>
          </cell>
          <cell r="G282" t="str">
            <v/>
          </cell>
          <cell r="H282" t="str">
            <v/>
          </cell>
        </row>
        <row r="283">
          <cell r="B283" t="str">
            <v/>
          </cell>
          <cell r="C283">
            <v>0</v>
          </cell>
          <cell r="D283">
            <v>0</v>
          </cell>
          <cell r="E283">
            <v>0</v>
          </cell>
          <cell r="F283" t="str">
            <v/>
          </cell>
          <cell r="G283" t="str">
            <v/>
          </cell>
          <cell r="H283" t="str">
            <v/>
          </cell>
        </row>
        <row r="284">
          <cell r="B284" t="str">
            <v/>
          </cell>
          <cell r="C284">
            <v>0</v>
          </cell>
          <cell r="D284">
            <v>0</v>
          </cell>
          <cell r="E284">
            <v>0</v>
          </cell>
          <cell r="F284" t="str">
            <v/>
          </cell>
          <cell r="G284" t="str">
            <v/>
          </cell>
          <cell r="H284" t="str">
            <v/>
          </cell>
        </row>
        <row r="285">
          <cell r="B285" t="str">
            <v/>
          </cell>
          <cell r="C285">
            <v>0</v>
          </cell>
          <cell r="D285">
            <v>0</v>
          </cell>
          <cell r="E285">
            <v>0</v>
          </cell>
          <cell r="F285" t="str">
            <v/>
          </cell>
          <cell r="G285" t="str">
            <v/>
          </cell>
          <cell r="H285" t="str">
            <v/>
          </cell>
        </row>
        <row r="286">
          <cell r="B286" t="str">
            <v/>
          </cell>
          <cell r="C286">
            <v>0</v>
          </cell>
          <cell r="D286">
            <v>0</v>
          </cell>
          <cell r="E286">
            <v>0</v>
          </cell>
          <cell r="F286" t="str">
            <v/>
          </cell>
          <cell r="G286" t="str">
            <v/>
          </cell>
          <cell r="H286" t="str">
            <v/>
          </cell>
        </row>
        <row r="287">
          <cell r="B287" t="str">
            <v/>
          </cell>
          <cell r="C287">
            <v>0</v>
          </cell>
          <cell r="D287">
            <v>0</v>
          </cell>
          <cell r="E287">
            <v>0</v>
          </cell>
          <cell r="F287" t="str">
            <v/>
          </cell>
          <cell r="G287" t="str">
            <v/>
          </cell>
          <cell r="H287" t="str">
            <v/>
          </cell>
        </row>
        <row r="288">
          <cell r="B288" t="str">
            <v/>
          </cell>
          <cell r="C288">
            <v>0</v>
          </cell>
          <cell r="D288">
            <v>0</v>
          </cell>
          <cell r="E288">
            <v>0</v>
          </cell>
          <cell r="F288" t="str">
            <v/>
          </cell>
          <cell r="G288" t="str">
            <v/>
          </cell>
          <cell r="H288" t="str">
            <v/>
          </cell>
        </row>
        <row r="289">
          <cell r="B289" t="str">
            <v/>
          </cell>
          <cell r="C289">
            <v>0</v>
          </cell>
          <cell r="D289">
            <v>0</v>
          </cell>
          <cell r="E289">
            <v>0</v>
          </cell>
          <cell r="F289" t="str">
            <v/>
          </cell>
          <cell r="G289" t="str">
            <v/>
          </cell>
          <cell r="H289" t="str">
            <v/>
          </cell>
        </row>
        <row r="290">
          <cell r="B290" t="str">
            <v/>
          </cell>
          <cell r="C290">
            <v>0</v>
          </cell>
          <cell r="D290">
            <v>0</v>
          </cell>
          <cell r="E290">
            <v>0</v>
          </cell>
          <cell r="F290" t="str">
            <v/>
          </cell>
          <cell r="G290" t="str">
            <v/>
          </cell>
          <cell r="H290" t="str">
            <v/>
          </cell>
        </row>
        <row r="291">
          <cell r="B291" t="str">
            <v/>
          </cell>
          <cell r="C291">
            <v>0</v>
          </cell>
          <cell r="D291">
            <v>0</v>
          </cell>
          <cell r="E291">
            <v>0</v>
          </cell>
          <cell r="F291" t="str">
            <v/>
          </cell>
          <cell r="G291" t="str">
            <v/>
          </cell>
          <cell r="H291" t="str">
            <v/>
          </cell>
        </row>
        <row r="292">
          <cell r="B292" t="str">
            <v/>
          </cell>
          <cell r="C292">
            <v>0</v>
          </cell>
          <cell r="D292">
            <v>0</v>
          </cell>
          <cell r="E292">
            <v>0</v>
          </cell>
          <cell r="F292" t="str">
            <v/>
          </cell>
          <cell r="G292" t="str">
            <v/>
          </cell>
          <cell r="H292" t="str">
            <v/>
          </cell>
        </row>
        <row r="293">
          <cell r="B293" t="str">
            <v/>
          </cell>
          <cell r="C293">
            <v>0</v>
          </cell>
          <cell r="D293">
            <v>0</v>
          </cell>
          <cell r="E293">
            <v>0</v>
          </cell>
          <cell r="F293" t="str">
            <v/>
          </cell>
          <cell r="G293" t="str">
            <v/>
          </cell>
          <cell r="H293" t="str">
            <v/>
          </cell>
        </row>
        <row r="294">
          <cell r="B294" t="str">
            <v/>
          </cell>
          <cell r="C294">
            <v>0</v>
          </cell>
          <cell r="D294">
            <v>0</v>
          </cell>
          <cell r="E294">
            <v>0</v>
          </cell>
          <cell r="F294" t="str">
            <v/>
          </cell>
          <cell r="G294" t="str">
            <v/>
          </cell>
          <cell r="H294" t="str">
            <v/>
          </cell>
        </row>
        <row r="295">
          <cell r="B295" t="str">
            <v/>
          </cell>
          <cell r="C295">
            <v>0</v>
          </cell>
          <cell r="D295">
            <v>0</v>
          </cell>
          <cell r="E295">
            <v>0</v>
          </cell>
          <cell r="F295" t="str">
            <v/>
          </cell>
          <cell r="G295" t="str">
            <v/>
          </cell>
          <cell r="H295" t="str">
            <v/>
          </cell>
        </row>
        <row r="296">
          <cell r="B296" t="str">
            <v/>
          </cell>
          <cell r="C296">
            <v>0</v>
          </cell>
          <cell r="D296">
            <v>0</v>
          </cell>
          <cell r="E296">
            <v>0</v>
          </cell>
          <cell r="F296" t="str">
            <v/>
          </cell>
          <cell r="G296" t="str">
            <v/>
          </cell>
          <cell r="H296" t="str">
            <v/>
          </cell>
        </row>
        <row r="297">
          <cell r="B297" t="str">
            <v/>
          </cell>
          <cell r="C297">
            <v>0</v>
          </cell>
          <cell r="D297">
            <v>0</v>
          </cell>
          <cell r="E297">
            <v>0</v>
          </cell>
          <cell r="F297" t="str">
            <v/>
          </cell>
          <cell r="G297" t="str">
            <v/>
          </cell>
          <cell r="H297" t="str">
            <v/>
          </cell>
        </row>
        <row r="298">
          <cell r="B298" t="str">
            <v/>
          </cell>
          <cell r="C298">
            <v>0</v>
          </cell>
          <cell r="D298">
            <v>0</v>
          </cell>
          <cell r="E298">
            <v>0</v>
          </cell>
          <cell r="F298" t="str">
            <v/>
          </cell>
          <cell r="G298" t="str">
            <v/>
          </cell>
          <cell r="H298" t="str">
            <v/>
          </cell>
        </row>
        <row r="299">
          <cell r="B299" t="str">
            <v/>
          </cell>
          <cell r="C299">
            <v>0</v>
          </cell>
          <cell r="D299">
            <v>0</v>
          </cell>
          <cell r="E299">
            <v>0</v>
          </cell>
          <cell r="F299" t="str">
            <v/>
          </cell>
          <cell r="G299" t="str">
            <v/>
          </cell>
          <cell r="H299" t="str">
            <v/>
          </cell>
        </row>
        <row r="300">
          <cell r="B300" t="str">
            <v/>
          </cell>
          <cell r="C300">
            <v>0</v>
          </cell>
          <cell r="D300">
            <v>0</v>
          </cell>
          <cell r="E300">
            <v>0</v>
          </cell>
          <cell r="F300" t="str">
            <v/>
          </cell>
          <cell r="G300" t="str">
            <v/>
          </cell>
          <cell r="H300" t="str">
            <v/>
          </cell>
        </row>
        <row r="301">
          <cell r="B301" t="str">
            <v/>
          </cell>
          <cell r="C301">
            <v>0</v>
          </cell>
          <cell r="D301">
            <v>0</v>
          </cell>
          <cell r="E301">
            <v>0</v>
          </cell>
          <cell r="F301" t="str">
            <v/>
          </cell>
          <cell r="G301" t="str">
            <v/>
          </cell>
          <cell r="H301" t="str">
            <v/>
          </cell>
        </row>
        <row r="302">
          <cell r="B302" t="str">
            <v/>
          </cell>
          <cell r="C302">
            <v>0</v>
          </cell>
          <cell r="D302">
            <v>0</v>
          </cell>
          <cell r="E302">
            <v>0</v>
          </cell>
          <cell r="F302" t="str">
            <v/>
          </cell>
          <cell r="G302" t="str">
            <v/>
          </cell>
          <cell r="H302" t="str">
            <v/>
          </cell>
        </row>
        <row r="303">
          <cell r="B303" t="str">
            <v/>
          </cell>
          <cell r="C303">
            <v>0</v>
          </cell>
          <cell r="D303">
            <v>0</v>
          </cell>
          <cell r="E303">
            <v>0</v>
          </cell>
          <cell r="F303" t="str">
            <v/>
          </cell>
          <cell r="G303" t="str">
            <v/>
          </cell>
          <cell r="H303" t="str">
            <v/>
          </cell>
        </row>
        <row r="304">
          <cell r="B304" t="str">
            <v/>
          </cell>
          <cell r="C304">
            <v>0</v>
          </cell>
          <cell r="D304">
            <v>0</v>
          </cell>
          <cell r="E304">
            <v>0</v>
          </cell>
          <cell r="F304" t="str">
            <v/>
          </cell>
          <cell r="G304" t="str">
            <v/>
          </cell>
          <cell r="H304" t="str">
            <v/>
          </cell>
        </row>
        <row r="305">
          <cell r="B305" t="str">
            <v/>
          </cell>
          <cell r="C305">
            <v>0</v>
          </cell>
          <cell r="D305">
            <v>0</v>
          </cell>
          <cell r="E305">
            <v>0</v>
          </cell>
          <cell r="F305" t="str">
            <v/>
          </cell>
          <cell r="G305" t="str">
            <v/>
          </cell>
          <cell r="H305" t="str">
            <v/>
          </cell>
        </row>
        <row r="306">
          <cell r="B306" t="str">
            <v/>
          </cell>
          <cell r="C306">
            <v>0</v>
          </cell>
          <cell r="D306">
            <v>0</v>
          </cell>
          <cell r="E306">
            <v>0</v>
          </cell>
          <cell r="F306" t="str">
            <v/>
          </cell>
          <cell r="G306" t="str">
            <v/>
          </cell>
          <cell r="H306" t="str">
            <v/>
          </cell>
        </row>
        <row r="307">
          <cell r="B307" t="str">
            <v/>
          </cell>
          <cell r="C307">
            <v>0</v>
          </cell>
          <cell r="D307">
            <v>0</v>
          </cell>
          <cell r="E307">
            <v>0</v>
          </cell>
          <cell r="F307" t="str">
            <v/>
          </cell>
          <cell r="G307" t="str">
            <v/>
          </cell>
          <cell r="H307" t="str">
            <v/>
          </cell>
        </row>
        <row r="308">
          <cell r="B308" t="str">
            <v/>
          </cell>
          <cell r="C308">
            <v>0</v>
          </cell>
          <cell r="D308">
            <v>0</v>
          </cell>
          <cell r="E308">
            <v>0</v>
          </cell>
          <cell r="F308" t="str">
            <v/>
          </cell>
          <cell r="G308" t="str">
            <v/>
          </cell>
          <cell r="H308" t="str">
            <v/>
          </cell>
        </row>
        <row r="309">
          <cell r="B309" t="str">
            <v/>
          </cell>
          <cell r="C309">
            <v>0</v>
          </cell>
          <cell r="D309">
            <v>0</v>
          </cell>
          <cell r="E309">
            <v>0</v>
          </cell>
          <cell r="F309" t="str">
            <v/>
          </cell>
          <cell r="G309" t="str">
            <v/>
          </cell>
          <cell r="H309" t="str">
            <v/>
          </cell>
        </row>
        <row r="310">
          <cell r="B310" t="str">
            <v/>
          </cell>
          <cell r="C310">
            <v>0</v>
          </cell>
          <cell r="D310">
            <v>0</v>
          </cell>
          <cell r="E310">
            <v>0</v>
          </cell>
          <cell r="F310" t="str">
            <v/>
          </cell>
          <cell r="G310" t="str">
            <v/>
          </cell>
          <cell r="H310" t="str">
            <v/>
          </cell>
        </row>
        <row r="311">
          <cell r="B311" t="str">
            <v/>
          </cell>
          <cell r="C311">
            <v>0</v>
          </cell>
          <cell r="D311">
            <v>0</v>
          </cell>
          <cell r="E311">
            <v>0</v>
          </cell>
          <cell r="F311" t="str">
            <v/>
          </cell>
          <cell r="G311" t="str">
            <v/>
          </cell>
          <cell r="H311" t="str">
            <v/>
          </cell>
        </row>
        <row r="312">
          <cell r="B312" t="str">
            <v/>
          </cell>
          <cell r="C312">
            <v>0</v>
          </cell>
          <cell r="D312">
            <v>0</v>
          </cell>
          <cell r="E312">
            <v>0</v>
          </cell>
          <cell r="F312" t="str">
            <v/>
          </cell>
          <cell r="G312" t="str">
            <v/>
          </cell>
          <cell r="H312" t="str">
            <v/>
          </cell>
        </row>
        <row r="313">
          <cell r="B313" t="str">
            <v/>
          </cell>
          <cell r="C313">
            <v>0</v>
          </cell>
          <cell r="D313">
            <v>0</v>
          </cell>
          <cell r="E313">
            <v>0</v>
          </cell>
          <cell r="F313" t="str">
            <v/>
          </cell>
          <cell r="G313" t="str">
            <v/>
          </cell>
          <cell r="H313" t="str">
            <v/>
          </cell>
        </row>
        <row r="314">
          <cell r="B314" t="str">
            <v/>
          </cell>
          <cell r="C314">
            <v>0</v>
          </cell>
          <cell r="D314">
            <v>0</v>
          </cell>
          <cell r="E314">
            <v>0</v>
          </cell>
          <cell r="F314" t="str">
            <v/>
          </cell>
          <cell r="G314" t="str">
            <v/>
          </cell>
          <cell r="H314" t="str">
            <v/>
          </cell>
        </row>
        <row r="315">
          <cell r="B315" t="str">
            <v/>
          </cell>
          <cell r="C315">
            <v>0</v>
          </cell>
          <cell r="D315">
            <v>0</v>
          </cell>
          <cell r="E315">
            <v>0</v>
          </cell>
          <cell r="F315" t="str">
            <v/>
          </cell>
          <cell r="G315" t="str">
            <v/>
          </cell>
          <cell r="H315" t="str">
            <v/>
          </cell>
        </row>
        <row r="316">
          <cell r="B316" t="str">
            <v/>
          </cell>
          <cell r="C316">
            <v>0</v>
          </cell>
          <cell r="D316">
            <v>0</v>
          </cell>
          <cell r="E316">
            <v>0</v>
          </cell>
          <cell r="F316" t="str">
            <v/>
          </cell>
          <cell r="G316" t="str">
            <v/>
          </cell>
          <cell r="H316" t="str">
            <v/>
          </cell>
        </row>
        <row r="317">
          <cell r="B317" t="str">
            <v/>
          </cell>
          <cell r="C317">
            <v>0</v>
          </cell>
          <cell r="D317">
            <v>0</v>
          </cell>
          <cell r="E317">
            <v>0</v>
          </cell>
          <cell r="F317" t="str">
            <v/>
          </cell>
          <cell r="G317" t="str">
            <v/>
          </cell>
          <cell r="H317" t="str">
            <v/>
          </cell>
        </row>
        <row r="318">
          <cell r="B318" t="str">
            <v/>
          </cell>
          <cell r="C318">
            <v>0</v>
          </cell>
          <cell r="D318">
            <v>0</v>
          </cell>
          <cell r="E318">
            <v>0</v>
          </cell>
          <cell r="F318" t="str">
            <v/>
          </cell>
          <cell r="G318" t="str">
            <v/>
          </cell>
          <cell r="H318" t="str">
            <v/>
          </cell>
        </row>
        <row r="319">
          <cell r="B319" t="str">
            <v/>
          </cell>
          <cell r="C319">
            <v>0</v>
          </cell>
          <cell r="D319">
            <v>0</v>
          </cell>
          <cell r="E319">
            <v>0</v>
          </cell>
          <cell r="F319" t="str">
            <v/>
          </cell>
          <cell r="G319" t="str">
            <v/>
          </cell>
          <cell r="H319" t="str">
            <v/>
          </cell>
        </row>
        <row r="320">
          <cell r="B320" t="str">
            <v/>
          </cell>
          <cell r="C320">
            <v>0</v>
          </cell>
          <cell r="D320">
            <v>0</v>
          </cell>
          <cell r="E320">
            <v>0</v>
          </cell>
          <cell r="F320" t="str">
            <v/>
          </cell>
          <cell r="G320" t="str">
            <v/>
          </cell>
          <cell r="H320" t="str">
            <v/>
          </cell>
        </row>
        <row r="321">
          <cell r="B321" t="str">
            <v/>
          </cell>
          <cell r="C321">
            <v>0</v>
          </cell>
          <cell r="D321">
            <v>0</v>
          </cell>
          <cell r="E321">
            <v>0</v>
          </cell>
          <cell r="F321" t="str">
            <v/>
          </cell>
          <cell r="G321" t="str">
            <v/>
          </cell>
          <cell r="H321" t="str">
            <v/>
          </cell>
        </row>
        <row r="322">
          <cell r="B322" t="str">
            <v/>
          </cell>
          <cell r="C322">
            <v>0</v>
          </cell>
          <cell r="D322">
            <v>0</v>
          </cell>
          <cell r="E322">
            <v>0</v>
          </cell>
          <cell r="F322" t="str">
            <v/>
          </cell>
          <cell r="G322" t="str">
            <v/>
          </cell>
          <cell r="H322" t="str">
            <v/>
          </cell>
        </row>
        <row r="323">
          <cell r="B323" t="str">
            <v/>
          </cell>
          <cell r="C323">
            <v>0</v>
          </cell>
          <cell r="D323">
            <v>0</v>
          </cell>
          <cell r="E323">
            <v>0</v>
          </cell>
          <cell r="F323" t="str">
            <v/>
          </cell>
          <cell r="G323" t="str">
            <v/>
          </cell>
          <cell r="H323" t="str">
            <v/>
          </cell>
        </row>
        <row r="324">
          <cell r="B324" t="str">
            <v/>
          </cell>
          <cell r="C324">
            <v>0</v>
          </cell>
          <cell r="D324">
            <v>0</v>
          </cell>
          <cell r="E324">
            <v>0</v>
          </cell>
          <cell r="F324" t="str">
            <v/>
          </cell>
          <cell r="G324" t="str">
            <v/>
          </cell>
          <cell r="H324" t="str">
            <v/>
          </cell>
        </row>
        <row r="325">
          <cell r="B325" t="str">
            <v/>
          </cell>
          <cell r="C325">
            <v>0</v>
          </cell>
          <cell r="D325">
            <v>0</v>
          </cell>
          <cell r="E325">
            <v>0</v>
          </cell>
          <cell r="F325" t="str">
            <v/>
          </cell>
          <cell r="G325" t="str">
            <v/>
          </cell>
          <cell r="H325" t="str">
            <v/>
          </cell>
        </row>
        <row r="326">
          <cell r="B326" t="str">
            <v/>
          </cell>
          <cell r="C326">
            <v>0</v>
          </cell>
          <cell r="D326">
            <v>0</v>
          </cell>
          <cell r="E326">
            <v>0</v>
          </cell>
          <cell r="F326" t="str">
            <v/>
          </cell>
          <cell r="G326" t="str">
            <v/>
          </cell>
          <cell r="H326" t="str">
            <v/>
          </cell>
        </row>
        <row r="327">
          <cell r="B327" t="str">
            <v/>
          </cell>
          <cell r="C327">
            <v>0</v>
          </cell>
          <cell r="D327">
            <v>0</v>
          </cell>
          <cell r="E327">
            <v>0</v>
          </cell>
          <cell r="F327" t="str">
            <v/>
          </cell>
          <cell r="G327" t="str">
            <v/>
          </cell>
          <cell r="H327" t="str">
            <v/>
          </cell>
        </row>
        <row r="328">
          <cell r="B328" t="str">
            <v/>
          </cell>
          <cell r="C328">
            <v>0</v>
          </cell>
          <cell r="D328">
            <v>0</v>
          </cell>
          <cell r="E328">
            <v>0</v>
          </cell>
          <cell r="F328" t="str">
            <v/>
          </cell>
          <cell r="G328" t="str">
            <v/>
          </cell>
          <cell r="H328" t="str">
            <v/>
          </cell>
        </row>
        <row r="329">
          <cell r="B329" t="str">
            <v/>
          </cell>
          <cell r="C329">
            <v>0</v>
          </cell>
          <cell r="D329">
            <v>0</v>
          </cell>
          <cell r="E329">
            <v>0</v>
          </cell>
          <cell r="F329" t="str">
            <v/>
          </cell>
          <cell r="G329" t="str">
            <v/>
          </cell>
          <cell r="H329" t="str">
            <v/>
          </cell>
        </row>
        <row r="330">
          <cell r="B330" t="str">
            <v/>
          </cell>
          <cell r="C330">
            <v>0</v>
          </cell>
          <cell r="D330">
            <v>0</v>
          </cell>
          <cell r="E330">
            <v>0</v>
          </cell>
          <cell r="F330" t="str">
            <v/>
          </cell>
          <cell r="G330" t="str">
            <v/>
          </cell>
          <cell r="H330" t="str">
            <v/>
          </cell>
        </row>
        <row r="331">
          <cell r="B331" t="str">
            <v/>
          </cell>
          <cell r="C331">
            <v>0</v>
          </cell>
          <cell r="D331">
            <v>0</v>
          </cell>
          <cell r="E331">
            <v>0</v>
          </cell>
          <cell r="F331" t="str">
            <v/>
          </cell>
          <cell r="G331" t="str">
            <v/>
          </cell>
          <cell r="H331" t="str">
            <v/>
          </cell>
        </row>
        <row r="332">
          <cell r="B332" t="str">
            <v/>
          </cell>
          <cell r="C332">
            <v>0</v>
          </cell>
          <cell r="D332">
            <v>0</v>
          </cell>
          <cell r="E332">
            <v>0</v>
          </cell>
          <cell r="F332" t="str">
            <v/>
          </cell>
          <cell r="G332" t="str">
            <v/>
          </cell>
          <cell r="H332" t="str">
            <v/>
          </cell>
        </row>
        <row r="333">
          <cell r="B333" t="str">
            <v/>
          </cell>
          <cell r="C333">
            <v>0</v>
          </cell>
          <cell r="D333">
            <v>0</v>
          </cell>
          <cell r="E333">
            <v>0</v>
          </cell>
          <cell r="F333" t="str">
            <v/>
          </cell>
          <cell r="G333" t="str">
            <v/>
          </cell>
          <cell r="H333" t="str">
            <v/>
          </cell>
        </row>
        <row r="334">
          <cell r="B334" t="str">
            <v/>
          </cell>
          <cell r="C334">
            <v>0</v>
          </cell>
          <cell r="D334">
            <v>0</v>
          </cell>
          <cell r="E334">
            <v>0</v>
          </cell>
          <cell r="F334" t="str">
            <v/>
          </cell>
          <cell r="G334" t="str">
            <v/>
          </cell>
          <cell r="H334" t="str">
            <v/>
          </cell>
        </row>
        <row r="335">
          <cell r="B335" t="str">
            <v/>
          </cell>
          <cell r="C335">
            <v>0</v>
          </cell>
          <cell r="D335">
            <v>0</v>
          </cell>
          <cell r="E335">
            <v>0</v>
          </cell>
          <cell r="F335" t="str">
            <v/>
          </cell>
          <cell r="G335" t="str">
            <v/>
          </cell>
          <cell r="H335" t="str">
            <v/>
          </cell>
        </row>
        <row r="336">
          <cell r="B336" t="str">
            <v/>
          </cell>
          <cell r="C336">
            <v>0</v>
          </cell>
          <cell r="D336">
            <v>0</v>
          </cell>
          <cell r="E336">
            <v>0</v>
          </cell>
          <cell r="F336" t="str">
            <v/>
          </cell>
          <cell r="G336" t="str">
            <v/>
          </cell>
          <cell r="H336" t="str">
            <v/>
          </cell>
        </row>
        <row r="337">
          <cell r="B337" t="str">
            <v/>
          </cell>
          <cell r="C337">
            <v>0</v>
          </cell>
          <cell r="D337">
            <v>0</v>
          </cell>
          <cell r="E337">
            <v>0</v>
          </cell>
          <cell r="F337" t="str">
            <v/>
          </cell>
          <cell r="G337" t="str">
            <v/>
          </cell>
          <cell r="H337" t="str">
            <v/>
          </cell>
        </row>
        <row r="338">
          <cell r="B338" t="str">
            <v/>
          </cell>
          <cell r="C338">
            <v>0</v>
          </cell>
          <cell r="D338">
            <v>0</v>
          </cell>
          <cell r="E338">
            <v>0</v>
          </cell>
          <cell r="F338" t="str">
            <v/>
          </cell>
          <cell r="G338" t="str">
            <v/>
          </cell>
          <cell r="H338" t="str">
            <v/>
          </cell>
        </row>
        <row r="339">
          <cell r="B339" t="str">
            <v/>
          </cell>
          <cell r="C339">
            <v>0</v>
          </cell>
          <cell r="D339">
            <v>0</v>
          </cell>
          <cell r="E339">
            <v>0</v>
          </cell>
          <cell r="F339" t="str">
            <v/>
          </cell>
          <cell r="G339" t="str">
            <v/>
          </cell>
          <cell r="H339" t="str">
            <v/>
          </cell>
        </row>
        <row r="340">
          <cell r="B340" t="str">
            <v/>
          </cell>
          <cell r="C340">
            <v>0</v>
          </cell>
          <cell r="D340">
            <v>0</v>
          </cell>
          <cell r="E340">
            <v>0</v>
          </cell>
          <cell r="F340" t="str">
            <v/>
          </cell>
          <cell r="G340" t="str">
            <v/>
          </cell>
          <cell r="H340" t="str">
            <v/>
          </cell>
        </row>
        <row r="341">
          <cell r="B341" t="str">
            <v/>
          </cell>
          <cell r="C341">
            <v>0</v>
          </cell>
          <cell r="D341">
            <v>0</v>
          </cell>
          <cell r="E341">
            <v>0</v>
          </cell>
          <cell r="F341" t="str">
            <v/>
          </cell>
          <cell r="G341" t="str">
            <v/>
          </cell>
          <cell r="H341" t="str">
            <v/>
          </cell>
        </row>
        <row r="342">
          <cell r="B342" t="str">
            <v/>
          </cell>
          <cell r="C342">
            <v>0</v>
          </cell>
          <cell r="D342">
            <v>0</v>
          </cell>
          <cell r="E342">
            <v>0</v>
          </cell>
          <cell r="F342" t="str">
            <v/>
          </cell>
          <cell r="G342" t="str">
            <v/>
          </cell>
          <cell r="H342" t="str">
            <v/>
          </cell>
        </row>
        <row r="343">
          <cell r="B343" t="str">
            <v/>
          </cell>
          <cell r="C343">
            <v>0</v>
          </cell>
          <cell r="D343">
            <v>0</v>
          </cell>
          <cell r="E343">
            <v>0</v>
          </cell>
          <cell r="F343" t="str">
            <v/>
          </cell>
          <cell r="G343" t="str">
            <v/>
          </cell>
          <cell r="H343" t="str">
            <v/>
          </cell>
        </row>
        <row r="344">
          <cell r="B344" t="str">
            <v/>
          </cell>
          <cell r="C344">
            <v>0</v>
          </cell>
          <cell r="D344">
            <v>0</v>
          </cell>
          <cell r="E344">
            <v>0</v>
          </cell>
          <cell r="F344" t="str">
            <v/>
          </cell>
          <cell r="G344" t="str">
            <v/>
          </cell>
          <cell r="H344" t="str">
            <v/>
          </cell>
        </row>
        <row r="345">
          <cell r="B345" t="str">
            <v/>
          </cell>
          <cell r="C345">
            <v>0</v>
          </cell>
          <cell r="D345">
            <v>0</v>
          </cell>
          <cell r="E345">
            <v>0</v>
          </cell>
          <cell r="F345" t="str">
            <v/>
          </cell>
          <cell r="G345" t="str">
            <v/>
          </cell>
          <cell r="H345" t="str">
            <v/>
          </cell>
        </row>
        <row r="346">
          <cell r="B346" t="str">
            <v/>
          </cell>
          <cell r="C346">
            <v>0</v>
          </cell>
          <cell r="D346">
            <v>0</v>
          </cell>
          <cell r="E346">
            <v>0</v>
          </cell>
          <cell r="F346" t="str">
            <v/>
          </cell>
          <cell r="G346" t="str">
            <v/>
          </cell>
          <cell r="H346" t="str">
            <v/>
          </cell>
        </row>
        <row r="347">
          <cell r="B347" t="str">
            <v/>
          </cell>
          <cell r="C347">
            <v>0</v>
          </cell>
          <cell r="D347">
            <v>0</v>
          </cell>
          <cell r="E347">
            <v>0</v>
          </cell>
          <cell r="F347" t="str">
            <v/>
          </cell>
          <cell r="G347" t="str">
            <v/>
          </cell>
          <cell r="H347" t="str">
            <v/>
          </cell>
        </row>
        <row r="348">
          <cell r="B348" t="str">
            <v/>
          </cell>
          <cell r="C348">
            <v>0</v>
          </cell>
          <cell r="D348">
            <v>0</v>
          </cell>
          <cell r="E348">
            <v>0</v>
          </cell>
          <cell r="F348" t="str">
            <v/>
          </cell>
          <cell r="G348" t="str">
            <v/>
          </cell>
          <cell r="H348" t="str">
            <v/>
          </cell>
        </row>
        <row r="349">
          <cell r="B349" t="str">
            <v/>
          </cell>
          <cell r="C349">
            <v>0</v>
          </cell>
          <cell r="D349">
            <v>0</v>
          </cell>
          <cell r="E349">
            <v>0</v>
          </cell>
          <cell r="F349" t="str">
            <v/>
          </cell>
          <cell r="G349" t="str">
            <v/>
          </cell>
          <cell r="H349" t="str">
            <v/>
          </cell>
        </row>
        <row r="350">
          <cell r="B350" t="str">
            <v/>
          </cell>
          <cell r="C350">
            <v>0</v>
          </cell>
          <cell r="D350">
            <v>0</v>
          </cell>
          <cell r="E350">
            <v>0</v>
          </cell>
          <cell r="F350" t="str">
            <v/>
          </cell>
          <cell r="G350" t="str">
            <v/>
          </cell>
          <cell r="H350" t="str">
            <v/>
          </cell>
        </row>
        <row r="351">
          <cell r="B351" t="str">
            <v/>
          </cell>
          <cell r="C351">
            <v>0</v>
          </cell>
          <cell r="D351">
            <v>0</v>
          </cell>
          <cell r="E351">
            <v>0</v>
          </cell>
          <cell r="F351" t="str">
            <v/>
          </cell>
          <cell r="G351" t="str">
            <v/>
          </cell>
          <cell r="H351" t="str">
            <v/>
          </cell>
        </row>
        <row r="352">
          <cell r="B352" t="str">
            <v/>
          </cell>
          <cell r="C352">
            <v>0</v>
          </cell>
          <cell r="D352">
            <v>0</v>
          </cell>
          <cell r="E352">
            <v>0</v>
          </cell>
          <cell r="F352" t="str">
            <v/>
          </cell>
          <cell r="G352" t="str">
            <v/>
          </cell>
          <cell r="H352" t="str">
            <v/>
          </cell>
        </row>
        <row r="353">
          <cell r="B353" t="str">
            <v/>
          </cell>
          <cell r="C353">
            <v>0</v>
          </cell>
          <cell r="D353">
            <v>0</v>
          </cell>
          <cell r="E353">
            <v>0</v>
          </cell>
          <cell r="F353" t="str">
            <v/>
          </cell>
          <cell r="G353" t="str">
            <v/>
          </cell>
          <cell r="H353" t="str">
            <v/>
          </cell>
        </row>
        <row r="354">
          <cell r="B354" t="str">
            <v/>
          </cell>
          <cell r="C354">
            <v>0</v>
          </cell>
          <cell r="D354">
            <v>0</v>
          </cell>
          <cell r="E354">
            <v>0</v>
          </cell>
          <cell r="F354" t="str">
            <v/>
          </cell>
          <cell r="G354" t="str">
            <v/>
          </cell>
          <cell r="H354" t="str">
            <v/>
          </cell>
        </row>
        <row r="355">
          <cell r="B355" t="str">
            <v/>
          </cell>
          <cell r="C355">
            <v>0</v>
          </cell>
          <cell r="D355">
            <v>0</v>
          </cell>
          <cell r="E355">
            <v>0</v>
          </cell>
          <cell r="F355" t="str">
            <v/>
          </cell>
          <cell r="G355" t="str">
            <v/>
          </cell>
          <cell r="H355" t="str">
            <v/>
          </cell>
        </row>
        <row r="356">
          <cell r="B356" t="str">
            <v/>
          </cell>
          <cell r="C356">
            <v>0</v>
          </cell>
          <cell r="D356">
            <v>0</v>
          </cell>
          <cell r="E356">
            <v>0</v>
          </cell>
          <cell r="F356" t="str">
            <v/>
          </cell>
          <cell r="G356" t="str">
            <v/>
          </cell>
          <cell r="H356" t="str">
            <v/>
          </cell>
        </row>
        <row r="357">
          <cell r="B357" t="str">
            <v/>
          </cell>
          <cell r="C357">
            <v>0</v>
          </cell>
          <cell r="D357">
            <v>0</v>
          </cell>
          <cell r="E357">
            <v>0</v>
          </cell>
          <cell r="F357" t="str">
            <v/>
          </cell>
          <cell r="G357" t="str">
            <v/>
          </cell>
          <cell r="H357" t="str">
            <v/>
          </cell>
        </row>
        <row r="358">
          <cell r="B358" t="str">
            <v/>
          </cell>
          <cell r="C358">
            <v>0</v>
          </cell>
          <cell r="D358">
            <v>0</v>
          </cell>
          <cell r="E358">
            <v>0</v>
          </cell>
          <cell r="F358" t="str">
            <v/>
          </cell>
          <cell r="G358" t="str">
            <v/>
          </cell>
          <cell r="H358" t="str">
            <v/>
          </cell>
        </row>
        <row r="359">
          <cell r="B359" t="str">
            <v/>
          </cell>
          <cell r="C359">
            <v>0</v>
          </cell>
          <cell r="D359">
            <v>0</v>
          </cell>
          <cell r="E359">
            <v>0</v>
          </cell>
          <cell r="F359" t="str">
            <v/>
          </cell>
          <cell r="G359" t="str">
            <v/>
          </cell>
          <cell r="H359" t="str">
            <v/>
          </cell>
        </row>
        <row r="360">
          <cell r="B360" t="str">
            <v/>
          </cell>
          <cell r="C360">
            <v>0</v>
          </cell>
          <cell r="D360">
            <v>0</v>
          </cell>
          <cell r="E360">
            <v>0</v>
          </cell>
          <cell r="F360" t="str">
            <v/>
          </cell>
          <cell r="G360" t="str">
            <v/>
          </cell>
          <cell r="H360" t="str">
            <v/>
          </cell>
        </row>
        <row r="361">
          <cell r="B361" t="str">
            <v/>
          </cell>
          <cell r="C361">
            <v>0</v>
          </cell>
          <cell r="D361">
            <v>0</v>
          </cell>
          <cell r="E361">
            <v>0</v>
          </cell>
          <cell r="F361" t="str">
            <v/>
          </cell>
          <cell r="G361" t="str">
            <v/>
          </cell>
          <cell r="H361" t="str">
            <v/>
          </cell>
        </row>
        <row r="362">
          <cell r="B362" t="str">
            <v/>
          </cell>
          <cell r="C362">
            <v>0</v>
          </cell>
          <cell r="D362">
            <v>0</v>
          </cell>
          <cell r="E362">
            <v>0</v>
          </cell>
          <cell r="F362" t="str">
            <v/>
          </cell>
          <cell r="G362" t="str">
            <v/>
          </cell>
          <cell r="H362" t="str">
            <v/>
          </cell>
        </row>
        <row r="363">
          <cell r="B363" t="str">
            <v/>
          </cell>
          <cell r="C363">
            <v>0</v>
          </cell>
          <cell r="D363">
            <v>0</v>
          </cell>
          <cell r="E363">
            <v>0</v>
          </cell>
          <cell r="F363" t="str">
            <v/>
          </cell>
          <cell r="G363" t="str">
            <v/>
          </cell>
          <cell r="H363" t="str">
            <v/>
          </cell>
        </row>
        <row r="364">
          <cell r="B364" t="str">
            <v/>
          </cell>
          <cell r="C364">
            <v>0</v>
          </cell>
          <cell r="D364">
            <v>0</v>
          </cell>
          <cell r="E364">
            <v>0</v>
          </cell>
          <cell r="F364" t="str">
            <v/>
          </cell>
          <cell r="G364" t="str">
            <v/>
          </cell>
          <cell r="H364" t="str">
            <v/>
          </cell>
        </row>
        <row r="365">
          <cell r="B365" t="str">
            <v/>
          </cell>
          <cell r="C365">
            <v>0</v>
          </cell>
          <cell r="D365">
            <v>0</v>
          </cell>
          <cell r="E365">
            <v>0</v>
          </cell>
          <cell r="F365" t="str">
            <v/>
          </cell>
          <cell r="G365" t="str">
            <v/>
          </cell>
          <cell r="H365" t="str">
            <v/>
          </cell>
        </row>
        <row r="366">
          <cell r="B366" t="str">
            <v/>
          </cell>
          <cell r="C366">
            <v>0</v>
          </cell>
          <cell r="D366">
            <v>0</v>
          </cell>
          <cell r="E366">
            <v>0</v>
          </cell>
          <cell r="F366" t="str">
            <v/>
          </cell>
          <cell r="G366" t="str">
            <v/>
          </cell>
          <cell r="H366" t="str">
            <v/>
          </cell>
        </row>
        <row r="367">
          <cell r="B367" t="str">
            <v/>
          </cell>
          <cell r="C367">
            <v>0</v>
          </cell>
          <cell r="D367">
            <v>0</v>
          </cell>
          <cell r="E367">
            <v>0</v>
          </cell>
          <cell r="F367" t="str">
            <v/>
          </cell>
          <cell r="G367" t="str">
            <v/>
          </cell>
          <cell r="H367" t="str">
            <v/>
          </cell>
        </row>
        <row r="368">
          <cell r="B368" t="str">
            <v/>
          </cell>
          <cell r="C368">
            <v>0</v>
          </cell>
          <cell r="D368">
            <v>0</v>
          </cell>
          <cell r="E368">
            <v>0</v>
          </cell>
          <cell r="F368" t="str">
            <v/>
          </cell>
          <cell r="G368" t="str">
            <v/>
          </cell>
          <cell r="H368" t="str">
            <v/>
          </cell>
        </row>
        <row r="369">
          <cell r="B369" t="str">
            <v/>
          </cell>
          <cell r="C369">
            <v>0</v>
          </cell>
          <cell r="D369">
            <v>0</v>
          </cell>
          <cell r="E369">
            <v>0</v>
          </cell>
          <cell r="F369" t="str">
            <v/>
          </cell>
          <cell r="G369" t="str">
            <v/>
          </cell>
          <cell r="H369" t="str">
            <v/>
          </cell>
        </row>
        <row r="370">
          <cell r="B370" t="str">
            <v/>
          </cell>
          <cell r="C370">
            <v>0</v>
          </cell>
          <cell r="D370">
            <v>0</v>
          </cell>
          <cell r="E370">
            <v>0</v>
          </cell>
          <cell r="F370" t="str">
            <v/>
          </cell>
          <cell r="G370" t="str">
            <v/>
          </cell>
          <cell r="H370" t="str">
            <v/>
          </cell>
        </row>
        <row r="371">
          <cell r="B371" t="str">
            <v/>
          </cell>
          <cell r="C371">
            <v>0</v>
          </cell>
          <cell r="D371">
            <v>0</v>
          </cell>
          <cell r="E371">
            <v>0</v>
          </cell>
          <cell r="F371" t="str">
            <v/>
          </cell>
          <cell r="G371" t="str">
            <v/>
          </cell>
          <cell r="H371" t="str">
            <v/>
          </cell>
        </row>
        <row r="372">
          <cell r="B372" t="str">
            <v/>
          </cell>
          <cell r="C372">
            <v>0</v>
          </cell>
          <cell r="D372">
            <v>0</v>
          </cell>
          <cell r="E372">
            <v>0</v>
          </cell>
          <cell r="F372" t="str">
            <v/>
          </cell>
          <cell r="G372" t="str">
            <v/>
          </cell>
          <cell r="H372" t="str">
            <v/>
          </cell>
        </row>
        <row r="373">
          <cell r="B373" t="str">
            <v/>
          </cell>
          <cell r="C373">
            <v>0</v>
          </cell>
          <cell r="D373">
            <v>0</v>
          </cell>
          <cell r="E373">
            <v>0</v>
          </cell>
          <cell r="F373" t="str">
            <v/>
          </cell>
          <cell r="G373" t="str">
            <v/>
          </cell>
          <cell r="H373" t="str">
            <v/>
          </cell>
        </row>
        <row r="374">
          <cell r="B374" t="str">
            <v/>
          </cell>
          <cell r="C374">
            <v>0</v>
          </cell>
          <cell r="D374">
            <v>0</v>
          </cell>
          <cell r="E374">
            <v>0</v>
          </cell>
          <cell r="F374" t="str">
            <v/>
          </cell>
          <cell r="G374" t="str">
            <v/>
          </cell>
          <cell r="H374" t="str">
            <v/>
          </cell>
        </row>
        <row r="375">
          <cell r="B375" t="str">
            <v/>
          </cell>
          <cell r="C375">
            <v>0</v>
          </cell>
          <cell r="D375">
            <v>0</v>
          </cell>
          <cell r="E375">
            <v>0</v>
          </cell>
          <cell r="F375" t="str">
            <v/>
          </cell>
          <cell r="G375" t="str">
            <v/>
          </cell>
          <cell r="H375" t="str">
            <v/>
          </cell>
        </row>
        <row r="376">
          <cell r="B376" t="str">
            <v/>
          </cell>
          <cell r="C376">
            <v>0</v>
          </cell>
          <cell r="D376">
            <v>0</v>
          </cell>
          <cell r="E376">
            <v>0</v>
          </cell>
          <cell r="F376" t="str">
            <v/>
          </cell>
          <cell r="G376" t="str">
            <v/>
          </cell>
          <cell r="H376" t="str">
            <v/>
          </cell>
        </row>
        <row r="377">
          <cell r="B377" t="str">
            <v/>
          </cell>
          <cell r="C377">
            <v>0</v>
          </cell>
          <cell r="D377">
            <v>0</v>
          </cell>
          <cell r="E377">
            <v>0</v>
          </cell>
          <cell r="F377" t="str">
            <v/>
          </cell>
          <cell r="G377" t="str">
            <v/>
          </cell>
          <cell r="H377" t="str">
            <v/>
          </cell>
        </row>
        <row r="378">
          <cell r="B378" t="str">
            <v/>
          </cell>
          <cell r="C378">
            <v>0</v>
          </cell>
          <cell r="D378">
            <v>0</v>
          </cell>
          <cell r="E378">
            <v>0</v>
          </cell>
          <cell r="F378" t="str">
            <v/>
          </cell>
          <cell r="G378" t="str">
            <v/>
          </cell>
          <cell r="H378" t="str">
            <v/>
          </cell>
        </row>
        <row r="379">
          <cell r="B379" t="str">
            <v/>
          </cell>
          <cell r="C379">
            <v>0</v>
          </cell>
          <cell r="D379">
            <v>0</v>
          </cell>
          <cell r="E379">
            <v>0</v>
          </cell>
          <cell r="F379" t="str">
            <v/>
          </cell>
          <cell r="G379" t="str">
            <v/>
          </cell>
          <cell r="H379" t="str">
            <v/>
          </cell>
        </row>
        <row r="380">
          <cell r="B380" t="str">
            <v/>
          </cell>
          <cell r="C380">
            <v>0</v>
          </cell>
          <cell r="D380">
            <v>0</v>
          </cell>
          <cell r="E380">
            <v>0</v>
          </cell>
          <cell r="F380" t="str">
            <v/>
          </cell>
          <cell r="G380" t="str">
            <v/>
          </cell>
          <cell r="H380" t="str">
            <v/>
          </cell>
        </row>
        <row r="381">
          <cell r="B381" t="str">
            <v/>
          </cell>
          <cell r="C381">
            <v>0</v>
          </cell>
          <cell r="D381">
            <v>0</v>
          </cell>
          <cell r="E381">
            <v>0</v>
          </cell>
          <cell r="F381" t="str">
            <v/>
          </cell>
          <cell r="G381" t="str">
            <v/>
          </cell>
          <cell r="H381" t="str">
            <v/>
          </cell>
        </row>
        <row r="382">
          <cell r="B382" t="str">
            <v/>
          </cell>
          <cell r="C382">
            <v>0</v>
          </cell>
          <cell r="D382">
            <v>0</v>
          </cell>
          <cell r="E382">
            <v>0</v>
          </cell>
          <cell r="F382" t="str">
            <v/>
          </cell>
          <cell r="G382" t="str">
            <v/>
          </cell>
          <cell r="H382" t="str">
            <v/>
          </cell>
        </row>
        <row r="383">
          <cell r="B383" t="str">
            <v/>
          </cell>
          <cell r="C383">
            <v>0</v>
          </cell>
          <cell r="D383">
            <v>0</v>
          </cell>
          <cell r="E383">
            <v>0</v>
          </cell>
          <cell r="F383" t="str">
            <v/>
          </cell>
          <cell r="G383" t="str">
            <v/>
          </cell>
          <cell r="H383" t="str">
            <v/>
          </cell>
        </row>
        <row r="384">
          <cell r="B384" t="str">
            <v/>
          </cell>
          <cell r="C384">
            <v>0</v>
          </cell>
          <cell r="D384">
            <v>0</v>
          </cell>
          <cell r="E384">
            <v>0</v>
          </cell>
          <cell r="F384" t="str">
            <v/>
          </cell>
          <cell r="G384" t="str">
            <v/>
          </cell>
          <cell r="H384" t="str">
            <v/>
          </cell>
        </row>
        <row r="385">
          <cell r="B385" t="str">
            <v/>
          </cell>
          <cell r="C385">
            <v>0</v>
          </cell>
          <cell r="D385">
            <v>0</v>
          </cell>
          <cell r="E385">
            <v>0</v>
          </cell>
          <cell r="F385" t="str">
            <v/>
          </cell>
          <cell r="G385" t="str">
            <v/>
          </cell>
          <cell r="H385" t="str">
            <v/>
          </cell>
        </row>
        <row r="386">
          <cell r="B386" t="str">
            <v/>
          </cell>
          <cell r="C386">
            <v>0</v>
          </cell>
          <cell r="D386">
            <v>0</v>
          </cell>
          <cell r="E386">
            <v>0</v>
          </cell>
          <cell r="F386" t="str">
            <v/>
          </cell>
          <cell r="G386" t="str">
            <v/>
          </cell>
          <cell r="H386" t="str">
            <v/>
          </cell>
        </row>
        <row r="387">
          <cell r="B387" t="str">
            <v/>
          </cell>
          <cell r="C387">
            <v>0</v>
          </cell>
          <cell r="D387">
            <v>0</v>
          </cell>
          <cell r="E387">
            <v>0</v>
          </cell>
          <cell r="F387" t="str">
            <v/>
          </cell>
          <cell r="G387" t="str">
            <v/>
          </cell>
          <cell r="H387" t="str">
            <v/>
          </cell>
        </row>
        <row r="388">
          <cell r="B388" t="str">
            <v/>
          </cell>
          <cell r="C388">
            <v>0</v>
          </cell>
          <cell r="D388">
            <v>0</v>
          </cell>
          <cell r="E388">
            <v>0</v>
          </cell>
          <cell r="F388" t="str">
            <v/>
          </cell>
          <cell r="G388" t="str">
            <v/>
          </cell>
          <cell r="H388" t="str">
            <v/>
          </cell>
        </row>
        <row r="389">
          <cell r="B389" t="str">
            <v/>
          </cell>
          <cell r="C389">
            <v>0</v>
          </cell>
          <cell r="D389">
            <v>0</v>
          </cell>
          <cell r="E389">
            <v>0</v>
          </cell>
          <cell r="F389" t="str">
            <v/>
          </cell>
          <cell r="G389" t="str">
            <v/>
          </cell>
          <cell r="H389" t="str">
            <v/>
          </cell>
        </row>
        <row r="390">
          <cell r="B390" t="str">
            <v/>
          </cell>
          <cell r="C390">
            <v>0</v>
          </cell>
          <cell r="D390">
            <v>0</v>
          </cell>
          <cell r="E390">
            <v>0</v>
          </cell>
          <cell r="F390" t="str">
            <v/>
          </cell>
          <cell r="G390" t="str">
            <v/>
          </cell>
          <cell r="H390" t="str">
            <v/>
          </cell>
        </row>
        <row r="391">
          <cell r="B391" t="str">
            <v/>
          </cell>
          <cell r="C391">
            <v>0</v>
          </cell>
          <cell r="D391">
            <v>0</v>
          </cell>
          <cell r="E391">
            <v>0</v>
          </cell>
          <cell r="F391" t="str">
            <v/>
          </cell>
          <cell r="G391" t="str">
            <v/>
          </cell>
          <cell r="H391" t="str">
            <v/>
          </cell>
        </row>
        <row r="392">
          <cell r="B392" t="str">
            <v/>
          </cell>
          <cell r="C392">
            <v>0</v>
          </cell>
          <cell r="D392">
            <v>0</v>
          </cell>
          <cell r="E392">
            <v>0</v>
          </cell>
          <cell r="F392" t="str">
            <v/>
          </cell>
          <cell r="G392" t="str">
            <v/>
          </cell>
          <cell r="H392" t="str">
            <v/>
          </cell>
        </row>
        <row r="393">
          <cell r="B393" t="str">
            <v/>
          </cell>
          <cell r="C393">
            <v>0</v>
          </cell>
          <cell r="D393">
            <v>0</v>
          </cell>
          <cell r="E393">
            <v>0</v>
          </cell>
          <cell r="F393" t="str">
            <v/>
          </cell>
          <cell r="G393" t="str">
            <v/>
          </cell>
          <cell r="H393" t="str">
            <v/>
          </cell>
        </row>
        <row r="394">
          <cell r="B394" t="str">
            <v/>
          </cell>
          <cell r="C394">
            <v>0</v>
          </cell>
          <cell r="D394">
            <v>0</v>
          </cell>
          <cell r="E394">
            <v>0</v>
          </cell>
          <cell r="F394" t="str">
            <v/>
          </cell>
          <cell r="G394" t="str">
            <v/>
          </cell>
          <cell r="H394" t="str">
            <v/>
          </cell>
        </row>
        <row r="395">
          <cell r="B395" t="str">
            <v/>
          </cell>
          <cell r="C395">
            <v>0</v>
          </cell>
          <cell r="D395">
            <v>0</v>
          </cell>
          <cell r="E395">
            <v>0</v>
          </cell>
          <cell r="F395" t="str">
            <v/>
          </cell>
          <cell r="G395" t="str">
            <v/>
          </cell>
          <cell r="H395" t="str">
            <v/>
          </cell>
        </row>
        <row r="396">
          <cell r="B396" t="str">
            <v/>
          </cell>
          <cell r="C396">
            <v>0</v>
          </cell>
          <cell r="D396">
            <v>0</v>
          </cell>
          <cell r="E396">
            <v>0</v>
          </cell>
          <cell r="F396" t="str">
            <v/>
          </cell>
          <cell r="G396" t="str">
            <v/>
          </cell>
          <cell r="H396" t="str">
            <v/>
          </cell>
        </row>
        <row r="397">
          <cell r="B397" t="str">
            <v/>
          </cell>
          <cell r="C397">
            <v>0</v>
          </cell>
          <cell r="D397">
            <v>0</v>
          </cell>
          <cell r="E397">
            <v>0</v>
          </cell>
          <cell r="F397" t="str">
            <v/>
          </cell>
          <cell r="G397" t="str">
            <v/>
          </cell>
          <cell r="H397" t="str">
            <v/>
          </cell>
        </row>
        <row r="398">
          <cell r="B398" t="str">
            <v/>
          </cell>
          <cell r="C398">
            <v>0</v>
          </cell>
          <cell r="D398">
            <v>0</v>
          </cell>
          <cell r="E398">
            <v>0</v>
          </cell>
          <cell r="F398" t="str">
            <v/>
          </cell>
          <cell r="G398" t="str">
            <v/>
          </cell>
          <cell r="H398" t="str">
            <v/>
          </cell>
        </row>
        <row r="399">
          <cell r="B399" t="str">
            <v/>
          </cell>
          <cell r="C399">
            <v>0</v>
          </cell>
          <cell r="D399">
            <v>0</v>
          </cell>
          <cell r="E399">
            <v>0</v>
          </cell>
          <cell r="F399" t="str">
            <v/>
          </cell>
          <cell r="G399" t="str">
            <v/>
          </cell>
          <cell r="H399" t="str">
            <v/>
          </cell>
        </row>
        <row r="400">
          <cell r="B400" t="str">
            <v/>
          </cell>
          <cell r="C400">
            <v>0</v>
          </cell>
          <cell r="D400">
            <v>0</v>
          </cell>
          <cell r="E400">
            <v>0</v>
          </cell>
          <cell r="F400" t="str">
            <v/>
          </cell>
          <cell r="G400" t="str">
            <v/>
          </cell>
          <cell r="H400" t="str">
            <v/>
          </cell>
        </row>
        <row r="401">
          <cell r="B401" t="str">
            <v/>
          </cell>
          <cell r="C401">
            <v>0</v>
          </cell>
          <cell r="D401">
            <v>0</v>
          </cell>
          <cell r="E401">
            <v>0</v>
          </cell>
          <cell r="F401" t="str">
            <v/>
          </cell>
          <cell r="G401" t="str">
            <v/>
          </cell>
          <cell r="H401" t="str">
            <v/>
          </cell>
        </row>
        <row r="402">
          <cell r="B402" t="str">
            <v/>
          </cell>
          <cell r="C402">
            <v>0</v>
          </cell>
          <cell r="D402">
            <v>0</v>
          </cell>
          <cell r="E402">
            <v>0</v>
          </cell>
          <cell r="F402" t="str">
            <v/>
          </cell>
          <cell r="G402" t="str">
            <v/>
          </cell>
          <cell r="H402" t="str">
            <v/>
          </cell>
        </row>
        <row r="403">
          <cell r="B403" t="str">
            <v/>
          </cell>
          <cell r="C403">
            <v>0</v>
          </cell>
          <cell r="D403">
            <v>0</v>
          </cell>
          <cell r="E403">
            <v>0</v>
          </cell>
          <cell r="F403" t="str">
            <v/>
          </cell>
          <cell r="G403" t="str">
            <v/>
          </cell>
          <cell r="H403" t="str">
            <v/>
          </cell>
        </row>
        <row r="404">
          <cell r="B404" t="str">
            <v/>
          </cell>
          <cell r="C404">
            <v>0</v>
          </cell>
          <cell r="D404">
            <v>0</v>
          </cell>
          <cell r="E404">
            <v>0</v>
          </cell>
          <cell r="F404" t="str">
            <v/>
          </cell>
          <cell r="G404" t="str">
            <v/>
          </cell>
          <cell r="H404" t="str">
            <v/>
          </cell>
        </row>
        <row r="405">
          <cell r="B405" t="str">
            <v/>
          </cell>
          <cell r="C405">
            <v>0</v>
          </cell>
          <cell r="D405">
            <v>0</v>
          </cell>
          <cell r="E405">
            <v>0</v>
          </cell>
          <cell r="F405" t="str">
            <v/>
          </cell>
          <cell r="G405" t="str">
            <v/>
          </cell>
          <cell r="H405" t="str">
            <v/>
          </cell>
        </row>
        <row r="406">
          <cell r="B406" t="str">
            <v/>
          </cell>
          <cell r="C406">
            <v>0</v>
          </cell>
          <cell r="D406">
            <v>0</v>
          </cell>
          <cell r="E406">
            <v>0</v>
          </cell>
          <cell r="F406" t="str">
            <v/>
          </cell>
          <cell r="G406" t="str">
            <v/>
          </cell>
          <cell r="H406" t="str">
            <v/>
          </cell>
        </row>
        <row r="407">
          <cell r="B407" t="str">
            <v/>
          </cell>
          <cell r="C407">
            <v>0</v>
          </cell>
          <cell r="D407">
            <v>0</v>
          </cell>
          <cell r="E407">
            <v>0</v>
          </cell>
          <cell r="F407" t="str">
            <v/>
          </cell>
          <cell r="G407" t="str">
            <v/>
          </cell>
          <cell r="H407" t="str">
            <v/>
          </cell>
        </row>
        <row r="408">
          <cell r="B408" t="str">
            <v/>
          </cell>
          <cell r="C408">
            <v>0</v>
          </cell>
          <cell r="D408">
            <v>0</v>
          </cell>
          <cell r="E408">
            <v>0</v>
          </cell>
          <cell r="F408" t="str">
            <v/>
          </cell>
          <cell r="G408" t="str">
            <v/>
          </cell>
          <cell r="H408" t="str">
            <v/>
          </cell>
        </row>
        <row r="409">
          <cell r="B409" t="str">
            <v/>
          </cell>
          <cell r="C409">
            <v>0</v>
          </cell>
          <cell r="D409">
            <v>0</v>
          </cell>
          <cell r="E409">
            <v>0</v>
          </cell>
          <cell r="F409" t="str">
            <v/>
          </cell>
          <cell r="G409" t="str">
            <v/>
          </cell>
          <cell r="H409" t="str">
            <v/>
          </cell>
        </row>
        <row r="410">
          <cell r="B410" t="str">
            <v/>
          </cell>
          <cell r="C410">
            <v>0</v>
          </cell>
          <cell r="D410">
            <v>0</v>
          </cell>
          <cell r="E410">
            <v>0</v>
          </cell>
          <cell r="F410" t="str">
            <v/>
          </cell>
          <cell r="G410" t="str">
            <v/>
          </cell>
          <cell r="H410" t="str">
            <v/>
          </cell>
        </row>
        <row r="411">
          <cell r="B411" t="str">
            <v/>
          </cell>
          <cell r="C411">
            <v>0</v>
          </cell>
          <cell r="D411">
            <v>0</v>
          </cell>
          <cell r="E411">
            <v>0</v>
          </cell>
          <cell r="F411" t="str">
            <v/>
          </cell>
          <cell r="G411" t="str">
            <v/>
          </cell>
          <cell r="H411" t="str">
            <v/>
          </cell>
        </row>
        <row r="412">
          <cell r="B412" t="str">
            <v/>
          </cell>
          <cell r="C412">
            <v>0</v>
          </cell>
          <cell r="D412">
            <v>0</v>
          </cell>
          <cell r="E412">
            <v>0</v>
          </cell>
          <cell r="F412" t="str">
            <v/>
          </cell>
          <cell r="G412" t="str">
            <v/>
          </cell>
          <cell r="H412" t="str">
            <v/>
          </cell>
        </row>
        <row r="413">
          <cell r="B413" t="str">
            <v/>
          </cell>
          <cell r="C413">
            <v>0</v>
          </cell>
          <cell r="D413">
            <v>0</v>
          </cell>
          <cell r="E413">
            <v>0</v>
          </cell>
          <cell r="F413" t="str">
            <v/>
          </cell>
          <cell r="G413" t="str">
            <v/>
          </cell>
          <cell r="H413" t="str">
            <v/>
          </cell>
        </row>
        <row r="414">
          <cell r="B414" t="str">
            <v/>
          </cell>
          <cell r="C414">
            <v>0</v>
          </cell>
          <cell r="D414">
            <v>0</v>
          </cell>
          <cell r="E414">
            <v>0</v>
          </cell>
          <cell r="F414" t="str">
            <v/>
          </cell>
          <cell r="G414" t="str">
            <v/>
          </cell>
          <cell r="H414" t="str">
            <v/>
          </cell>
        </row>
        <row r="415">
          <cell r="B415" t="str">
            <v/>
          </cell>
          <cell r="C415">
            <v>0</v>
          </cell>
          <cell r="D415">
            <v>0</v>
          </cell>
          <cell r="E415">
            <v>0</v>
          </cell>
          <cell r="F415" t="str">
            <v/>
          </cell>
          <cell r="G415" t="str">
            <v/>
          </cell>
          <cell r="H415" t="str">
            <v/>
          </cell>
        </row>
        <row r="416">
          <cell r="B416" t="str">
            <v/>
          </cell>
          <cell r="C416">
            <v>0</v>
          </cell>
          <cell r="D416">
            <v>0</v>
          </cell>
          <cell r="E416">
            <v>0</v>
          </cell>
          <cell r="F416" t="str">
            <v/>
          </cell>
          <cell r="G416" t="str">
            <v/>
          </cell>
          <cell r="H416" t="str">
            <v/>
          </cell>
        </row>
        <row r="417">
          <cell r="B417" t="str">
            <v/>
          </cell>
          <cell r="C417">
            <v>0</v>
          </cell>
          <cell r="D417">
            <v>0</v>
          </cell>
          <cell r="E417">
            <v>0</v>
          </cell>
          <cell r="F417" t="str">
            <v/>
          </cell>
          <cell r="G417" t="str">
            <v/>
          </cell>
          <cell r="H417" t="str">
            <v/>
          </cell>
        </row>
        <row r="418">
          <cell r="B418" t="str">
            <v/>
          </cell>
          <cell r="C418">
            <v>0</v>
          </cell>
          <cell r="D418">
            <v>0</v>
          </cell>
          <cell r="E418">
            <v>0</v>
          </cell>
          <cell r="F418" t="str">
            <v/>
          </cell>
          <cell r="G418" t="str">
            <v/>
          </cell>
          <cell r="H418" t="str">
            <v/>
          </cell>
        </row>
        <row r="419">
          <cell r="B419" t="str">
            <v/>
          </cell>
          <cell r="C419">
            <v>0</v>
          </cell>
          <cell r="D419">
            <v>0</v>
          </cell>
          <cell r="E419">
            <v>0</v>
          </cell>
          <cell r="F419" t="str">
            <v/>
          </cell>
          <cell r="G419" t="str">
            <v/>
          </cell>
          <cell r="H419" t="str">
            <v/>
          </cell>
        </row>
        <row r="420">
          <cell r="B420" t="str">
            <v/>
          </cell>
          <cell r="C420">
            <v>0</v>
          </cell>
          <cell r="D420">
            <v>0</v>
          </cell>
          <cell r="E420">
            <v>0</v>
          </cell>
          <cell r="F420" t="str">
            <v/>
          </cell>
          <cell r="G420" t="str">
            <v/>
          </cell>
          <cell r="H420" t="str">
            <v/>
          </cell>
        </row>
        <row r="421">
          <cell r="B421" t="str">
            <v/>
          </cell>
          <cell r="C421">
            <v>0</v>
          </cell>
          <cell r="D421">
            <v>0</v>
          </cell>
          <cell r="E421">
            <v>0</v>
          </cell>
          <cell r="F421" t="str">
            <v/>
          </cell>
          <cell r="G421" t="str">
            <v/>
          </cell>
          <cell r="H421" t="str">
            <v/>
          </cell>
        </row>
        <row r="422">
          <cell r="B422" t="str">
            <v/>
          </cell>
          <cell r="C422">
            <v>0</v>
          </cell>
          <cell r="D422">
            <v>0</v>
          </cell>
          <cell r="E422">
            <v>0</v>
          </cell>
          <cell r="F422" t="str">
            <v/>
          </cell>
          <cell r="G422" t="str">
            <v/>
          </cell>
          <cell r="H422" t="str">
            <v/>
          </cell>
        </row>
        <row r="423">
          <cell r="B423" t="str">
            <v/>
          </cell>
          <cell r="C423">
            <v>0</v>
          </cell>
          <cell r="D423">
            <v>0</v>
          </cell>
          <cell r="E423">
            <v>0</v>
          </cell>
          <cell r="F423" t="str">
            <v/>
          </cell>
          <cell r="G423" t="str">
            <v/>
          </cell>
          <cell r="H423" t="str">
            <v/>
          </cell>
        </row>
        <row r="424">
          <cell r="B424" t="str">
            <v/>
          </cell>
          <cell r="C424">
            <v>0</v>
          </cell>
          <cell r="D424">
            <v>0</v>
          </cell>
          <cell r="E424">
            <v>0</v>
          </cell>
          <cell r="F424" t="str">
            <v/>
          </cell>
          <cell r="G424" t="str">
            <v/>
          </cell>
          <cell r="H424" t="str">
            <v/>
          </cell>
        </row>
        <row r="425">
          <cell r="B425" t="str">
            <v/>
          </cell>
          <cell r="C425">
            <v>0</v>
          </cell>
          <cell r="D425">
            <v>0</v>
          </cell>
          <cell r="E425">
            <v>0</v>
          </cell>
          <cell r="F425" t="str">
            <v/>
          </cell>
          <cell r="G425" t="str">
            <v/>
          </cell>
          <cell r="H425" t="str">
            <v/>
          </cell>
        </row>
        <row r="426">
          <cell r="B426" t="str">
            <v/>
          </cell>
          <cell r="C426">
            <v>0</v>
          </cell>
          <cell r="D426">
            <v>0</v>
          </cell>
          <cell r="E426">
            <v>0</v>
          </cell>
          <cell r="F426" t="str">
            <v/>
          </cell>
          <cell r="G426" t="str">
            <v/>
          </cell>
          <cell r="H426" t="str">
            <v/>
          </cell>
        </row>
        <row r="427">
          <cell r="B427" t="str">
            <v/>
          </cell>
          <cell r="C427">
            <v>0</v>
          </cell>
          <cell r="D427">
            <v>0</v>
          </cell>
          <cell r="E427">
            <v>0</v>
          </cell>
          <cell r="F427" t="str">
            <v/>
          </cell>
          <cell r="G427" t="str">
            <v/>
          </cell>
          <cell r="H427" t="str">
            <v/>
          </cell>
        </row>
        <row r="428">
          <cell r="B428" t="str">
            <v/>
          </cell>
          <cell r="C428">
            <v>0</v>
          </cell>
          <cell r="D428">
            <v>0</v>
          </cell>
          <cell r="E428">
            <v>0</v>
          </cell>
          <cell r="F428" t="str">
            <v/>
          </cell>
          <cell r="G428" t="str">
            <v/>
          </cell>
          <cell r="H428" t="str">
            <v/>
          </cell>
        </row>
        <row r="429">
          <cell r="B429" t="str">
            <v/>
          </cell>
          <cell r="C429">
            <v>0</v>
          </cell>
          <cell r="D429">
            <v>0</v>
          </cell>
          <cell r="E429">
            <v>0</v>
          </cell>
          <cell r="F429" t="str">
            <v/>
          </cell>
          <cell r="G429" t="str">
            <v/>
          </cell>
          <cell r="H429" t="str">
            <v/>
          </cell>
        </row>
        <row r="430">
          <cell r="B430" t="str">
            <v/>
          </cell>
          <cell r="C430">
            <v>0</v>
          </cell>
          <cell r="D430">
            <v>0</v>
          </cell>
          <cell r="E430">
            <v>0</v>
          </cell>
          <cell r="F430" t="str">
            <v/>
          </cell>
          <cell r="G430" t="str">
            <v/>
          </cell>
          <cell r="H430" t="str">
            <v/>
          </cell>
        </row>
        <row r="431">
          <cell r="B431" t="str">
            <v/>
          </cell>
          <cell r="C431">
            <v>0</v>
          </cell>
          <cell r="D431">
            <v>0</v>
          </cell>
          <cell r="E431">
            <v>0</v>
          </cell>
          <cell r="F431" t="str">
            <v/>
          </cell>
          <cell r="G431" t="str">
            <v/>
          </cell>
          <cell r="H431" t="str">
            <v/>
          </cell>
        </row>
        <row r="432">
          <cell r="B432" t="str">
            <v/>
          </cell>
          <cell r="C432">
            <v>0</v>
          </cell>
          <cell r="D432">
            <v>0</v>
          </cell>
          <cell r="E432">
            <v>0</v>
          </cell>
          <cell r="F432" t="str">
            <v/>
          </cell>
          <cell r="G432" t="str">
            <v/>
          </cell>
          <cell r="H432" t="str">
            <v/>
          </cell>
        </row>
        <row r="433">
          <cell r="B433" t="str">
            <v/>
          </cell>
          <cell r="C433">
            <v>0</v>
          </cell>
          <cell r="D433">
            <v>0</v>
          </cell>
          <cell r="E433">
            <v>0</v>
          </cell>
          <cell r="F433" t="str">
            <v/>
          </cell>
          <cell r="G433" t="str">
            <v/>
          </cell>
          <cell r="H433" t="str">
            <v/>
          </cell>
        </row>
        <row r="434">
          <cell r="B434" t="str">
            <v/>
          </cell>
          <cell r="C434">
            <v>0</v>
          </cell>
          <cell r="D434">
            <v>0</v>
          </cell>
          <cell r="E434">
            <v>0</v>
          </cell>
          <cell r="F434" t="str">
            <v/>
          </cell>
          <cell r="G434" t="str">
            <v/>
          </cell>
          <cell r="H434" t="str">
            <v/>
          </cell>
        </row>
        <row r="435">
          <cell r="B435" t="str">
            <v/>
          </cell>
          <cell r="C435">
            <v>0</v>
          </cell>
          <cell r="D435">
            <v>0</v>
          </cell>
          <cell r="E435">
            <v>0</v>
          </cell>
          <cell r="F435">
            <v>0</v>
          </cell>
          <cell r="G435">
            <v>0</v>
          </cell>
          <cell r="H435" t="str">
            <v/>
          </cell>
        </row>
        <row r="436">
          <cell r="B436" t="str">
            <v/>
          </cell>
          <cell r="C436">
            <v>0</v>
          </cell>
          <cell r="D436">
            <v>0</v>
          </cell>
          <cell r="E436">
            <v>0</v>
          </cell>
          <cell r="F436">
            <v>0</v>
          </cell>
          <cell r="G436">
            <v>0</v>
          </cell>
          <cell r="H436" t="str">
            <v/>
          </cell>
        </row>
        <row r="437">
          <cell r="B437" t="str">
            <v/>
          </cell>
          <cell r="C437">
            <v>0</v>
          </cell>
          <cell r="D437">
            <v>0</v>
          </cell>
          <cell r="E437">
            <v>0</v>
          </cell>
          <cell r="F437">
            <v>0</v>
          </cell>
          <cell r="G437">
            <v>0</v>
          </cell>
          <cell r="H437" t="str">
            <v/>
          </cell>
        </row>
        <row r="438">
          <cell r="B438" t="str">
            <v/>
          </cell>
          <cell r="C438">
            <v>0</v>
          </cell>
          <cell r="D438">
            <v>0</v>
          </cell>
          <cell r="E438">
            <v>0</v>
          </cell>
          <cell r="F438">
            <v>0</v>
          </cell>
          <cell r="G438">
            <v>0</v>
          </cell>
          <cell r="H438" t="str">
            <v/>
          </cell>
        </row>
        <row r="439">
          <cell r="B439" t="str">
            <v/>
          </cell>
          <cell r="C439">
            <v>0</v>
          </cell>
          <cell r="D439">
            <v>0</v>
          </cell>
          <cell r="E439">
            <v>0</v>
          </cell>
          <cell r="F439">
            <v>0</v>
          </cell>
          <cell r="G439">
            <v>0</v>
          </cell>
          <cell r="H439" t="str">
            <v/>
          </cell>
        </row>
        <row r="440">
          <cell r="B440" t="str">
            <v/>
          </cell>
          <cell r="C440">
            <v>0</v>
          </cell>
          <cell r="D440">
            <v>0</v>
          </cell>
          <cell r="E440">
            <v>0</v>
          </cell>
          <cell r="F440">
            <v>0</v>
          </cell>
          <cell r="G440">
            <v>0</v>
          </cell>
          <cell r="H440" t="str">
            <v/>
          </cell>
        </row>
        <row r="441">
          <cell r="B441" t="str">
            <v/>
          </cell>
          <cell r="C441">
            <v>0</v>
          </cell>
          <cell r="D441">
            <v>0</v>
          </cell>
          <cell r="E441">
            <v>0</v>
          </cell>
          <cell r="F441">
            <v>0</v>
          </cell>
          <cell r="G441">
            <v>0</v>
          </cell>
          <cell r="H441">
            <v>0</v>
          </cell>
        </row>
        <row r="442">
          <cell r="B442" t="str">
            <v/>
          </cell>
          <cell r="C442">
            <v>0</v>
          </cell>
          <cell r="D442">
            <v>0</v>
          </cell>
          <cell r="E442">
            <v>0</v>
          </cell>
          <cell r="F442">
            <v>0</v>
          </cell>
          <cell r="G442">
            <v>0</v>
          </cell>
          <cell r="H442">
            <v>0</v>
          </cell>
        </row>
        <row r="443">
          <cell r="B443" t="str">
            <v/>
          </cell>
          <cell r="C443">
            <v>0</v>
          </cell>
          <cell r="D443">
            <v>0</v>
          </cell>
          <cell r="E443">
            <v>0</v>
          </cell>
          <cell r="F443">
            <v>0</v>
          </cell>
          <cell r="G443">
            <v>0</v>
          </cell>
          <cell r="H443">
            <v>0</v>
          </cell>
        </row>
        <row r="444">
          <cell r="B444" t="str">
            <v/>
          </cell>
          <cell r="C444">
            <v>0</v>
          </cell>
          <cell r="D444">
            <v>0</v>
          </cell>
          <cell r="E444">
            <v>0</v>
          </cell>
          <cell r="F444">
            <v>0</v>
          </cell>
          <cell r="G444">
            <v>0</v>
          </cell>
          <cell r="H444">
            <v>0</v>
          </cell>
        </row>
        <row r="445">
          <cell r="B445" t="str">
            <v/>
          </cell>
          <cell r="C445">
            <v>0</v>
          </cell>
          <cell r="D445">
            <v>0</v>
          </cell>
          <cell r="E445">
            <v>0</v>
          </cell>
          <cell r="F445">
            <v>0</v>
          </cell>
          <cell r="G445">
            <v>0</v>
          </cell>
          <cell r="H445">
            <v>0</v>
          </cell>
        </row>
        <row r="446">
          <cell r="B446" t="str">
            <v/>
          </cell>
          <cell r="C446">
            <v>0</v>
          </cell>
          <cell r="D446">
            <v>0</v>
          </cell>
          <cell r="E446">
            <v>0</v>
          </cell>
          <cell r="F446">
            <v>0</v>
          </cell>
          <cell r="G446">
            <v>0</v>
          </cell>
          <cell r="H446">
            <v>0</v>
          </cell>
        </row>
        <row r="447">
          <cell r="B447" t="str">
            <v/>
          </cell>
          <cell r="C447">
            <v>0</v>
          </cell>
          <cell r="D447">
            <v>0</v>
          </cell>
          <cell r="E447">
            <v>0</v>
          </cell>
          <cell r="F447">
            <v>0</v>
          </cell>
          <cell r="G447">
            <v>0</v>
          </cell>
          <cell r="H447">
            <v>0</v>
          </cell>
        </row>
        <row r="448">
          <cell r="B448" t="str">
            <v/>
          </cell>
          <cell r="C448">
            <v>0</v>
          </cell>
          <cell r="D448">
            <v>0</v>
          </cell>
          <cell r="E448">
            <v>0</v>
          </cell>
          <cell r="F448">
            <v>0</v>
          </cell>
          <cell r="G448">
            <v>0</v>
          </cell>
          <cell r="H448">
            <v>0</v>
          </cell>
        </row>
        <row r="449">
          <cell r="B449" t="str">
            <v/>
          </cell>
          <cell r="C449">
            <v>0</v>
          </cell>
          <cell r="D449">
            <v>0</v>
          </cell>
          <cell r="E449">
            <v>0</v>
          </cell>
          <cell r="F449">
            <v>0</v>
          </cell>
          <cell r="G449">
            <v>0</v>
          </cell>
          <cell r="H449">
            <v>0</v>
          </cell>
        </row>
        <row r="450">
          <cell r="B450" t="str">
            <v/>
          </cell>
          <cell r="C450">
            <v>0</v>
          </cell>
          <cell r="D450">
            <v>0</v>
          </cell>
          <cell r="E450">
            <v>0</v>
          </cell>
          <cell r="F450">
            <v>0</v>
          </cell>
          <cell r="G450">
            <v>0</v>
          </cell>
          <cell r="H450">
            <v>0</v>
          </cell>
        </row>
        <row r="451">
          <cell r="B451" t="str">
            <v/>
          </cell>
          <cell r="C451">
            <v>0</v>
          </cell>
          <cell r="D451">
            <v>0</v>
          </cell>
          <cell r="E451">
            <v>0</v>
          </cell>
          <cell r="F451">
            <v>0</v>
          </cell>
          <cell r="G451">
            <v>0</v>
          </cell>
          <cell r="H451">
            <v>0</v>
          </cell>
        </row>
        <row r="452">
          <cell r="B452" t="str">
            <v/>
          </cell>
          <cell r="C452">
            <v>0</v>
          </cell>
          <cell r="D452">
            <v>0</v>
          </cell>
          <cell r="E452">
            <v>0</v>
          </cell>
          <cell r="F452">
            <v>0</v>
          </cell>
          <cell r="G452">
            <v>0</v>
          </cell>
          <cell r="H452">
            <v>0</v>
          </cell>
        </row>
        <row r="453">
          <cell r="B453" t="str">
            <v/>
          </cell>
          <cell r="C453">
            <v>0</v>
          </cell>
          <cell r="D453">
            <v>0</v>
          </cell>
          <cell r="E453">
            <v>0</v>
          </cell>
          <cell r="F453">
            <v>0</v>
          </cell>
          <cell r="G453">
            <v>0</v>
          </cell>
          <cell r="H453">
            <v>0</v>
          </cell>
        </row>
        <row r="454">
          <cell r="B454" t="str">
            <v/>
          </cell>
          <cell r="C454">
            <v>0</v>
          </cell>
          <cell r="D454">
            <v>0</v>
          </cell>
          <cell r="E454">
            <v>0</v>
          </cell>
          <cell r="F454">
            <v>0</v>
          </cell>
          <cell r="G454">
            <v>0</v>
          </cell>
          <cell r="H454">
            <v>0</v>
          </cell>
        </row>
        <row r="455">
          <cell r="B455" t="str">
            <v/>
          </cell>
          <cell r="C455">
            <v>0</v>
          </cell>
          <cell r="D455">
            <v>0</v>
          </cell>
          <cell r="E455">
            <v>0</v>
          </cell>
          <cell r="F455">
            <v>0</v>
          </cell>
          <cell r="G455">
            <v>0</v>
          </cell>
          <cell r="H455">
            <v>0</v>
          </cell>
        </row>
        <row r="456">
          <cell r="B456" t="str">
            <v/>
          </cell>
          <cell r="C456">
            <v>0</v>
          </cell>
          <cell r="D456">
            <v>0</v>
          </cell>
          <cell r="E456">
            <v>0</v>
          </cell>
          <cell r="F456">
            <v>0</v>
          </cell>
          <cell r="G456">
            <v>0</v>
          </cell>
          <cell r="H456">
            <v>0</v>
          </cell>
        </row>
        <row r="457">
          <cell r="B457" t="str">
            <v/>
          </cell>
          <cell r="C457">
            <v>0</v>
          </cell>
          <cell r="D457">
            <v>0</v>
          </cell>
          <cell r="E457">
            <v>0</v>
          </cell>
          <cell r="F457">
            <v>0</v>
          </cell>
          <cell r="G457">
            <v>0</v>
          </cell>
          <cell r="H457">
            <v>0</v>
          </cell>
        </row>
        <row r="458">
          <cell r="B458" t="str">
            <v/>
          </cell>
          <cell r="C458">
            <v>0</v>
          </cell>
          <cell r="D458">
            <v>0</v>
          </cell>
          <cell r="E458">
            <v>0</v>
          </cell>
          <cell r="F458">
            <v>0</v>
          </cell>
          <cell r="G458">
            <v>0</v>
          </cell>
          <cell r="H458">
            <v>0</v>
          </cell>
        </row>
        <row r="459">
          <cell r="B459" t="str">
            <v/>
          </cell>
          <cell r="C459">
            <v>0</v>
          </cell>
          <cell r="D459">
            <v>0</v>
          </cell>
          <cell r="E459">
            <v>0</v>
          </cell>
          <cell r="F459">
            <v>0</v>
          </cell>
          <cell r="G459">
            <v>0</v>
          </cell>
          <cell r="H459">
            <v>0</v>
          </cell>
        </row>
        <row r="460">
          <cell r="B460" t="str">
            <v/>
          </cell>
          <cell r="C460">
            <v>0</v>
          </cell>
          <cell r="D460">
            <v>0</v>
          </cell>
          <cell r="E460">
            <v>0</v>
          </cell>
          <cell r="F460">
            <v>0</v>
          </cell>
          <cell r="G460">
            <v>0</v>
          </cell>
          <cell r="H460">
            <v>0</v>
          </cell>
        </row>
        <row r="461">
          <cell r="B461" t="str">
            <v/>
          </cell>
          <cell r="C461">
            <v>0</v>
          </cell>
          <cell r="D461">
            <v>0</v>
          </cell>
          <cell r="E461">
            <v>0</v>
          </cell>
          <cell r="F461">
            <v>0</v>
          </cell>
          <cell r="G461">
            <v>0</v>
          </cell>
          <cell r="H461">
            <v>0</v>
          </cell>
        </row>
        <row r="462">
          <cell r="B462" t="str">
            <v/>
          </cell>
          <cell r="C462">
            <v>0</v>
          </cell>
          <cell r="D462">
            <v>0</v>
          </cell>
          <cell r="E462">
            <v>0</v>
          </cell>
          <cell r="F462">
            <v>0</v>
          </cell>
          <cell r="G462">
            <v>0</v>
          </cell>
          <cell r="H462">
            <v>0</v>
          </cell>
        </row>
        <row r="463">
          <cell r="B463" t="str">
            <v/>
          </cell>
          <cell r="C463">
            <v>0</v>
          </cell>
          <cell r="D463">
            <v>0</v>
          </cell>
          <cell r="E463">
            <v>0</v>
          </cell>
          <cell r="F463">
            <v>0</v>
          </cell>
          <cell r="G463">
            <v>0</v>
          </cell>
          <cell r="H463">
            <v>0</v>
          </cell>
        </row>
        <row r="464">
          <cell r="B464" t="str">
            <v/>
          </cell>
          <cell r="C464">
            <v>0</v>
          </cell>
          <cell r="D464">
            <v>0</v>
          </cell>
          <cell r="E464">
            <v>0</v>
          </cell>
          <cell r="F464">
            <v>0</v>
          </cell>
          <cell r="G464">
            <v>0</v>
          </cell>
          <cell r="H464">
            <v>0</v>
          </cell>
        </row>
        <row r="465">
          <cell r="B465" t="str">
            <v/>
          </cell>
          <cell r="C465">
            <v>0</v>
          </cell>
          <cell r="D465">
            <v>0</v>
          </cell>
          <cell r="E465">
            <v>0</v>
          </cell>
          <cell r="F465">
            <v>0</v>
          </cell>
          <cell r="G465">
            <v>0</v>
          </cell>
          <cell r="H465">
            <v>0</v>
          </cell>
        </row>
        <row r="466">
          <cell r="B466" t="str">
            <v/>
          </cell>
          <cell r="C466">
            <v>0</v>
          </cell>
          <cell r="D466">
            <v>0</v>
          </cell>
          <cell r="E466">
            <v>0</v>
          </cell>
          <cell r="F466">
            <v>0</v>
          </cell>
          <cell r="G466">
            <v>0</v>
          </cell>
          <cell r="H466">
            <v>0</v>
          </cell>
        </row>
        <row r="467">
          <cell r="B467" t="str">
            <v/>
          </cell>
          <cell r="C467">
            <v>0</v>
          </cell>
          <cell r="D467">
            <v>0</v>
          </cell>
          <cell r="E467">
            <v>0</v>
          </cell>
          <cell r="F467">
            <v>0</v>
          </cell>
          <cell r="G467">
            <v>0</v>
          </cell>
          <cell r="H467">
            <v>0</v>
          </cell>
        </row>
        <row r="468">
          <cell r="B468" t="str">
            <v/>
          </cell>
          <cell r="C468">
            <v>0</v>
          </cell>
          <cell r="D468">
            <v>0</v>
          </cell>
          <cell r="E468">
            <v>0</v>
          </cell>
          <cell r="F468">
            <v>0</v>
          </cell>
          <cell r="G468">
            <v>0</v>
          </cell>
          <cell r="H468">
            <v>0</v>
          </cell>
        </row>
        <row r="469">
          <cell r="B469" t="str">
            <v/>
          </cell>
          <cell r="C469">
            <v>0</v>
          </cell>
          <cell r="D469">
            <v>0</v>
          </cell>
          <cell r="E469">
            <v>0</v>
          </cell>
          <cell r="F469">
            <v>0</v>
          </cell>
          <cell r="G469">
            <v>0</v>
          </cell>
          <cell r="H469">
            <v>0</v>
          </cell>
        </row>
        <row r="470">
          <cell r="B470" t="str">
            <v/>
          </cell>
          <cell r="C470">
            <v>0</v>
          </cell>
          <cell r="D470">
            <v>0</v>
          </cell>
          <cell r="E470">
            <v>0</v>
          </cell>
          <cell r="F470">
            <v>0</v>
          </cell>
          <cell r="G470">
            <v>0</v>
          </cell>
          <cell r="H470">
            <v>0</v>
          </cell>
        </row>
        <row r="471">
          <cell r="B471" t="str">
            <v/>
          </cell>
          <cell r="C471">
            <v>0</v>
          </cell>
          <cell r="D471">
            <v>0</v>
          </cell>
          <cell r="E471">
            <v>0</v>
          </cell>
          <cell r="F471">
            <v>0</v>
          </cell>
          <cell r="G471">
            <v>0</v>
          </cell>
          <cell r="H471">
            <v>0</v>
          </cell>
        </row>
        <row r="472">
          <cell r="B472" t="str">
            <v/>
          </cell>
          <cell r="C472">
            <v>0</v>
          </cell>
          <cell r="D472">
            <v>0</v>
          </cell>
          <cell r="E472">
            <v>0</v>
          </cell>
          <cell r="F472">
            <v>0</v>
          </cell>
          <cell r="G472">
            <v>0</v>
          </cell>
          <cell r="H472">
            <v>0</v>
          </cell>
        </row>
        <row r="473">
          <cell r="B473" t="str">
            <v/>
          </cell>
          <cell r="C473">
            <v>0</v>
          </cell>
          <cell r="D473">
            <v>0</v>
          </cell>
          <cell r="E473">
            <v>0</v>
          </cell>
          <cell r="F473">
            <v>0</v>
          </cell>
          <cell r="G473">
            <v>0</v>
          </cell>
          <cell r="H473">
            <v>0</v>
          </cell>
        </row>
        <row r="474">
          <cell r="B474" t="str">
            <v/>
          </cell>
          <cell r="C474">
            <v>0</v>
          </cell>
          <cell r="D474">
            <v>0</v>
          </cell>
          <cell r="E474">
            <v>0</v>
          </cell>
          <cell r="F474">
            <v>0</v>
          </cell>
          <cell r="G474">
            <v>0</v>
          </cell>
          <cell r="H474">
            <v>0</v>
          </cell>
        </row>
        <row r="475">
          <cell r="B475" t="str">
            <v/>
          </cell>
          <cell r="C475">
            <v>0</v>
          </cell>
          <cell r="D475">
            <v>0</v>
          </cell>
          <cell r="E475">
            <v>0</v>
          </cell>
          <cell r="F475">
            <v>0</v>
          </cell>
          <cell r="G475">
            <v>0</v>
          </cell>
          <cell r="H475">
            <v>0</v>
          </cell>
        </row>
        <row r="476">
          <cell r="B476" t="str">
            <v/>
          </cell>
          <cell r="C476">
            <v>0</v>
          </cell>
          <cell r="D476">
            <v>0</v>
          </cell>
          <cell r="E476">
            <v>0</v>
          </cell>
          <cell r="F476">
            <v>0</v>
          </cell>
          <cell r="G476">
            <v>0</v>
          </cell>
          <cell r="H476">
            <v>0</v>
          </cell>
        </row>
        <row r="477">
          <cell r="B477" t="str">
            <v/>
          </cell>
          <cell r="C477">
            <v>0</v>
          </cell>
          <cell r="D477">
            <v>0</v>
          </cell>
          <cell r="E477">
            <v>0</v>
          </cell>
          <cell r="F477">
            <v>0</v>
          </cell>
          <cell r="G477">
            <v>0</v>
          </cell>
          <cell r="H477">
            <v>0</v>
          </cell>
        </row>
        <row r="478">
          <cell r="B478" t="str">
            <v/>
          </cell>
          <cell r="C478">
            <v>0</v>
          </cell>
          <cell r="D478">
            <v>0</v>
          </cell>
          <cell r="E478">
            <v>0</v>
          </cell>
          <cell r="F478">
            <v>0</v>
          </cell>
          <cell r="G478">
            <v>0</v>
          </cell>
          <cell r="H478">
            <v>0</v>
          </cell>
        </row>
        <row r="479">
          <cell r="B479" t="str">
            <v/>
          </cell>
          <cell r="C479">
            <v>0</v>
          </cell>
          <cell r="D479">
            <v>0</v>
          </cell>
          <cell r="E479">
            <v>0</v>
          </cell>
          <cell r="F479">
            <v>0</v>
          </cell>
          <cell r="G479">
            <v>0</v>
          </cell>
          <cell r="H479">
            <v>0</v>
          </cell>
        </row>
        <row r="480">
          <cell r="B480" t="str">
            <v/>
          </cell>
          <cell r="C480">
            <v>0</v>
          </cell>
          <cell r="D480">
            <v>0</v>
          </cell>
          <cell r="E480">
            <v>0</v>
          </cell>
          <cell r="F480">
            <v>0</v>
          </cell>
          <cell r="G480">
            <v>0</v>
          </cell>
          <cell r="H480">
            <v>0</v>
          </cell>
        </row>
        <row r="481">
          <cell r="B481" t="str">
            <v/>
          </cell>
          <cell r="C481">
            <v>0</v>
          </cell>
          <cell r="D481">
            <v>0</v>
          </cell>
          <cell r="E481">
            <v>0</v>
          </cell>
          <cell r="F481">
            <v>0</v>
          </cell>
          <cell r="G481">
            <v>0</v>
          </cell>
          <cell r="H481">
            <v>0</v>
          </cell>
        </row>
        <row r="482">
          <cell r="B482" t="str">
            <v/>
          </cell>
          <cell r="C482">
            <v>0</v>
          </cell>
          <cell r="D482">
            <v>0</v>
          </cell>
          <cell r="E482">
            <v>0</v>
          </cell>
          <cell r="F482">
            <v>0</v>
          </cell>
          <cell r="G482">
            <v>0</v>
          </cell>
          <cell r="H482">
            <v>0</v>
          </cell>
        </row>
        <row r="483">
          <cell r="B483" t="str">
            <v/>
          </cell>
          <cell r="C483">
            <v>0</v>
          </cell>
          <cell r="D483">
            <v>0</v>
          </cell>
          <cell r="E483">
            <v>0</v>
          </cell>
          <cell r="F483">
            <v>0</v>
          </cell>
          <cell r="G483">
            <v>0</v>
          </cell>
          <cell r="H483">
            <v>0</v>
          </cell>
        </row>
        <row r="484">
          <cell r="B484" t="str">
            <v/>
          </cell>
          <cell r="C484">
            <v>0</v>
          </cell>
          <cell r="D484">
            <v>0</v>
          </cell>
          <cell r="E484">
            <v>0</v>
          </cell>
          <cell r="F484">
            <v>0</v>
          </cell>
          <cell r="G484">
            <v>0</v>
          </cell>
          <cell r="H484">
            <v>0</v>
          </cell>
        </row>
        <row r="485">
          <cell r="B485" t="str">
            <v/>
          </cell>
          <cell r="C485">
            <v>0</v>
          </cell>
          <cell r="D485">
            <v>0</v>
          </cell>
          <cell r="E485">
            <v>0</v>
          </cell>
          <cell r="F485">
            <v>0</v>
          </cell>
          <cell r="G485">
            <v>0</v>
          </cell>
          <cell r="H485">
            <v>0</v>
          </cell>
        </row>
        <row r="486">
          <cell r="B486" t="str">
            <v/>
          </cell>
          <cell r="C486">
            <v>0</v>
          </cell>
          <cell r="D486">
            <v>0</v>
          </cell>
          <cell r="E486">
            <v>0</v>
          </cell>
          <cell r="F486">
            <v>0</v>
          </cell>
          <cell r="G486">
            <v>0</v>
          </cell>
          <cell r="H486">
            <v>0</v>
          </cell>
        </row>
        <row r="487">
          <cell r="B487" t="str">
            <v/>
          </cell>
          <cell r="C487">
            <v>0</v>
          </cell>
          <cell r="D487">
            <v>0</v>
          </cell>
          <cell r="E487">
            <v>0</v>
          </cell>
          <cell r="F487">
            <v>0</v>
          </cell>
          <cell r="G487">
            <v>0</v>
          </cell>
          <cell r="H487">
            <v>0</v>
          </cell>
        </row>
        <row r="488">
          <cell r="B488" t="str">
            <v/>
          </cell>
          <cell r="C488">
            <v>0</v>
          </cell>
          <cell r="D488">
            <v>0</v>
          </cell>
          <cell r="E488">
            <v>0</v>
          </cell>
          <cell r="F488">
            <v>0</v>
          </cell>
          <cell r="G488">
            <v>0</v>
          </cell>
          <cell r="H488">
            <v>0</v>
          </cell>
        </row>
        <row r="489">
          <cell r="B489" t="str">
            <v/>
          </cell>
          <cell r="C489">
            <v>0</v>
          </cell>
          <cell r="D489">
            <v>0</v>
          </cell>
          <cell r="E489">
            <v>0</v>
          </cell>
          <cell r="F489">
            <v>0</v>
          </cell>
          <cell r="G489">
            <v>0</v>
          </cell>
          <cell r="H489">
            <v>0</v>
          </cell>
        </row>
        <row r="490">
          <cell r="B490" t="str">
            <v/>
          </cell>
          <cell r="C490">
            <v>0</v>
          </cell>
          <cell r="D490">
            <v>0</v>
          </cell>
          <cell r="E490">
            <v>0</v>
          </cell>
          <cell r="F490">
            <v>0</v>
          </cell>
          <cell r="G490">
            <v>0</v>
          </cell>
          <cell r="H490">
            <v>0</v>
          </cell>
        </row>
        <row r="491">
          <cell r="B491" t="str">
            <v/>
          </cell>
          <cell r="C491">
            <v>0</v>
          </cell>
          <cell r="D491">
            <v>0</v>
          </cell>
          <cell r="E491">
            <v>0</v>
          </cell>
          <cell r="F491">
            <v>0</v>
          </cell>
          <cell r="G491">
            <v>0</v>
          </cell>
          <cell r="H491">
            <v>0</v>
          </cell>
        </row>
        <row r="492">
          <cell r="B492" t="str">
            <v/>
          </cell>
          <cell r="C492">
            <v>0</v>
          </cell>
          <cell r="D492">
            <v>0</v>
          </cell>
          <cell r="E492">
            <v>0</v>
          </cell>
          <cell r="F492">
            <v>0</v>
          </cell>
          <cell r="G492">
            <v>0</v>
          </cell>
          <cell r="H492">
            <v>0</v>
          </cell>
        </row>
        <row r="493">
          <cell r="B493" t="str">
            <v/>
          </cell>
          <cell r="C493">
            <v>0</v>
          </cell>
          <cell r="D493">
            <v>0</v>
          </cell>
          <cell r="E493">
            <v>0</v>
          </cell>
          <cell r="F493">
            <v>0</v>
          </cell>
          <cell r="G493">
            <v>0</v>
          </cell>
          <cell r="H493">
            <v>0</v>
          </cell>
        </row>
        <row r="494">
          <cell r="B494" t="str">
            <v/>
          </cell>
          <cell r="C494">
            <v>0</v>
          </cell>
          <cell r="D494">
            <v>0</v>
          </cell>
          <cell r="E494">
            <v>0</v>
          </cell>
          <cell r="F494">
            <v>0</v>
          </cell>
          <cell r="G494">
            <v>0</v>
          </cell>
          <cell r="H494">
            <v>0</v>
          </cell>
        </row>
        <row r="495">
          <cell r="B495" t="str">
            <v/>
          </cell>
          <cell r="C495">
            <v>0</v>
          </cell>
          <cell r="D495">
            <v>0</v>
          </cell>
          <cell r="E495">
            <v>0</v>
          </cell>
          <cell r="F495">
            <v>0</v>
          </cell>
          <cell r="G495">
            <v>0</v>
          </cell>
          <cell r="H495">
            <v>0</v>
          </cell>
        </row>
        <row r="496">
          <cell r="B496" t="str">
            <v/>
          </cell>
          <cell r="C496">
            <v>0</v>
          </cell>
          <cell r="D496">
            <v>0</v>
          </cell>
          <cell r="E496">
            <v>0</v>
          </cell>
          <cell r="F496">
            <v>0</v>
          </cell>
          <cell r="G496">
            <v>0</v>
          </cell>
          <cell r="H496">
            <v>0</v>
          </cell>
        </row>
        <row r="497">
          <cell r="B497" t="str">
            <v/>
          </cell>
          <cell r="C497">
            <v>0</v>
          </cell>
          <cell r="D497">
            <v>0</v>
          </cell>
          <cell r="E497">
            <v>0</v>
          </cell>
          <cell r="F497">
            <v>0</v>
          </cell>
          <cell r="G497">
            <v>0</v>
          </cell>
          <cell r="H497">
            <v>0</v>
          </cell>
        </row>
        <row r="498">
          <cell r="B498" t="str">
            <v/>
          </cell>
          <cell r="C498">
            <v>0</v>
          </cell>
          <cell r="D498">
            <v>0</v>
          </cell>
          <cell r="E498">
            <v>0</v>
          </cell>
          <cell r="F498">
            <v>0</v>
          </cell>
          <cell r="G498">
            <v>0</v>
          </cell>
          <cell r="H498">
            <v>0</v>
          </cell>
        </row>
        <row r="499">
          <cell r="B499" t="str">
            <v/>
          </cell>
          <cell r="C499">
            <v>0</v>
          </cell>
          <cell r="D499">
            <v>0</v>
          </cell>
          <cell r="E499">
            <v>0</v>
          </cell>
          <cell r="F499" t="str">
            <v/>
          </cell>
          <cell r="G499">
            <v>0</v>
          </cell>
          <cell r="H499" t="str">
            <v/>
          </cell>
        </row>
      </sheetData>
      <sheetData sheetId="4"/>
      <sheetData sheetId="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latório ou Exportação"/>
      <sheetName val="DADOS"/>
      <sheetName val="DESENHOS"/>
      <sheetName val="VAZOES"/>
      <sheetName val="DIMENSIONAMENTO"/>
      <sheetName val="RECALQUE"/>
      <sheetName val="PERFIL"/>
      <sheetName val="PACOTE"/>
      <sheetName val="PACOTE2"/>
      <sheetName val="VALA"/>
      <sheetName val="PRECOS"/>
      <sheetName val="ORCAMENTO"/>
      <sheetName val="MATERIAIS"/>
      <sheetName val="MNDC"/>
      <sheetName val="INSUMOS"/>
      <sheetName val="MND"/>
      <sheetName val="MNDR"/>
      <sheetName val="FICHA"/>
      <sheetName val="CRONOGRAMA"/>
      <sheetName val="RELATORIO2"/>
      <sheetName val="ORCAMENTO_REG"/>
      <sheetName val="MATERIAIS_REG"/>
      <sheetName val="RELATORIO"/>
      <sheetName val="FOLHAS"/>
    </sheetNames>
    <sheetDataSet>
      <sheetData sheetId="0"/>
      <sheetData sheetId="1"/>
      <sheetData sheetId="2">
        <row r="22">
          <cell r="D22" t="str">
            <v>de</v>
          </cell>
        </row>
        <row r="24">
          <cell r="D24" t="str">
            <v>Redes Coletoras da %projeto</v>
          </cell>
        </row>
        <row r="25">
          <cell r="D25" t="str">
            <v>%anexo - %titulo (%projeto)</v>
          </cell>
        </row>
        <row r="33">
          <cell r="E33">
            <v>4</v>
          </cell>
        </row>
        <row r="35">
          <cell r="E35">
            <v>0</v>
          </cell>
        </row>
        <row r="36">
          <cell r="E36">
            <v>0</v>
          </cell>
        </row>
      </sheetData>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PLANILHA"/>
      <sheetName val="cronograma"/>
      <sheetName val="PLANILHA_correção_item 5.1"/>
      <sheetName val="PLANILHA_correção_item 5.1_rev2"/>
      <sheetName val="cronograma_rev01"/>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Instruções de Uso"/>
      <sheetName val="Planilha Orçamentária"/>
      <sheetName val="SINTÉTICA"/>
      <sheetName val="OBSOLETO"/>
      <sheetName val="CRON. F. FINANCEIRO"/>
      <sheetName val="BDI"/>
      <sheetName val="PLANILHA"/>
      <sheetName val="MM DE CÁLCULO"/>
      <sheetName val="MAPA DE COTAÇÕES"/>
      <sheetName val="Dimensionamento"/>
      <sheetName val="Reservatório"/>
      <sheetName val="LISTA Nº01"/>
      <sheetName val="COMPOSIÇÃO 02"/>
      <sheetName val="COMPOSIÇÃO 03"/>
      <sheetName val="CX MACROS"/>
      <sheetName val="Composição 04"/>
      <sheetName val="Reservatório_R12"/>
      <sheetName val="ReservatórioVilaNova"/>
      <sheetName val="COMPOSIÇÃO 01"/>
    </sheetNames>
    <sheetDataSet>
      <sheetData sheetId="0"/>
      <sheetData sheetId="1"/>
      <sheetData sheetId="2"/>
      <sheetData sheetId="3"/>
      <sheetData sheetId="4"/>
      <sheetData sheetId="5">
        <row r="36">
          <cell r="E36">
            <v>0.13804846634146339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horn"/>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EGENDA"/>
      <sheetName val="01m"/>
      <sheetName val="01n"/>
      <sheetName val="02m"/>
      <sheetName val="02n"/>
      <sheetName val="03m"/>
      <sheetName val="03n"/>
      <sheetName val="04m"/>
      <sheetName val="04n"/>
      <sheetName val="05m"/>
      <sheetName val="05n"/>
      <sheetName val="06m"/>
      <sheetName val="06n"/>
      <sheetName val="07m"/>
      <sheetName val="07n"/>
      <sheetName val="08m"/>
      <sheetName val="08n"/>
      <sheetName val="09m"/>
      <sheetName val="09n"/>
      <sheetName val="10m"/>
      <sheetName val="10n"/>
      <sheetName val="11m"/>
      <sheetName val="11n"/>
      <sheetName val="12m"/>
      <sheetName val="12n"/>
      <sheetName val="13m"/>
      <sheetName val="13n"/>
      <sheetName val="14m"/>
      <sheetName val="14n"/>
      <sheetName val="15m"/>
      <sheetName val="15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ACROMEDIDOR MM-02"/>
      <sheetName val="VÁLVULA VRP-01"/>
      <sheetName val="VÁLVULA VRP-02"/>
      <sheetName val="INTERVENÇÕES"/>
      <sheetName val="ADUTORA 0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QCI"/>
      <sheetName val="CRONO"/>
      <sheetName val="RRE"/>
      <sheetName val="DADOS"/>
    </sheetNames>
    <sheetDataSet>
      <sheetData sheetId="0"/>
      <sheetData sheetId="1"/>
      <sheetData sheetId="2"/>
      <sheetData sheetId="3">
        <row r="1">
          <cell r="G1" t="str">
            <v>Unidades habitacionais</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Tarifa EE"/>
      <sheetName val="Análise Energia"/>
      <sheetName val="Invest. Vitalux"/>
      <sheetName val="Histórico EE e Retorno AES"/>
      <sheetName val="RCB - Ótica do Sistema"/>
      <sheetName val="Cronograma"/>
      <sheetName val="Custo por Categoria"/>
      <sheetName val="Custo Servicos_Categoria"/>
      <sheetName val="Valor de Venda"/>
      <sheetName val="Fluxo Caixa"/>
      <sheetName val="Graf - Fl. Cx."/>
      <sheetName val="Tab. CPP"/>
      <sheetName val="Simulacao - Edital"/>
    </sheetNames>
    <sheetDataSet>
      <sheetData sheetId="0">
        <row r="2">
          <cell r="E2" t="str">
            <v>Jun/14 
conta França Pinto</v>
          </cell>
          <cell r="F2" t="str">
            <v>Agosto site ELPA</v>
          </cell>
          <cell r="G2" t="str">
            <v>Jan site ELPA (Bd. Verm.)</v>
          </cell>
          <cell r="H2" t="str">
            <v>Mar site ELPA (Bd. Verm.)</v>
          </cell>
          <cell r="I2" t="str">
            <v>Jul site ELPA (Bd. Verm.)</v>
          </cell>
          <cell r="J2" t="str">
            <v>Contas 2015</v>
          </cell>
        </row>
      </sheetData>
      <sheetData sheetId="1">
        <row r="5">
          <cell r="J5">
            <v>1850</v>
          </cell>
        </row>
      </sheetData>
      <sheetData sheetId="2"/>
      <sheetData sheetId="3"/>
      <sheetData sheetId="4"/>
      <sheetData sheetId="5"/>
      <sheetData sheetId="6"/>
      <sheetData sheetId="7"/>
      <sheetData sheetId="8"/>
      <sheetData sheetId="9">
        <row r="9">
          <cell r="F9">
            <v>2015</v>
          </cell>
        </row>
      </sheetData>
      <sheetData sheetId="10"/>
      <sheetData sheetId="11"/>
      <sheetData sheetId="12">
        <row r="4">
          <cell r="E4" t="str">
            <v>Edital</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ONTATOS"/>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rigem"/>
      <sheetName val="RESUMO"/>
      <sheetName val="1TqResReuso"/>
      <sheetName val="2AdensLodoFlot"/>
      <sheetName val="3TqMembrana"/>
      <sheetName val="4TqAeração"/>
      <sheetName val="5Portaria"/>
      <sheetName val="6DesidrLodo"/>
      <sheetName val="7EstDosPAC"/>
      <sheetName val="8EstDosPAC"/>
      <sheetName val="9TqResEfluInd"/>
      <sheetName val="10AdmCtl"/>
      <sheetName val="11ElevEsgBruto"/>
      <sheetName val="12TratPreliminar"/>
      <sheetName val="13Eendrenados"/>
      <sheetName val="14ServGerais"/>
      <sheetName val="15SubestN02"/>
      <sheetName val="16SubestN01"/>
      <sheetName val="17SubestN03"/>
    </sheetNames>
    <sheetDataSet>
      <sheetData sheetId="0">
        <row r="1">
          <cell r="A1" t="str">
            <v>145.01</v>
          </cell>
          <cell r="B1">
            <v>6.36</v>
          </cell>
        </row>
        <row r="2">
          <cell r="A2" t="str">
            <v>145.02</v>
          </cell>
          <cell r="B2">
            <v>1</v>
          </cell>
        </row>
        <row r="3">
          <cell r="A3" t="str">
            <v>145.03</v>
          </cell>
          <cell r="B3">
            <v>14.37</v>
          </cell>
        </row>
        <row r="4">
          <cell r="A4" t="str">
            <v>145.04</v>
          </cell>
          <cell r="B4">
            <v>12.4</v>
          </cell>
        </row>
        <row r="5">
          <cell r="A5" t="str">
            <v>145.05</v>
          </cell>
          <cell r="B5">
            <v>19.37</v>
          </cell>
        </row>
        <row r="6">
          <cell r="A6" t="str">
            <v>155.01.01</v>
          </cell>
          <cell r="B6">
            <v>2.02</v>
          </cell>
        </row>
        <row r="7">
          <cell r="A7" t="str">
            <v>155.02.01</v>
          </cell>
          <cell r="B7">
            <v>130</v>
          </cell>
        </row>
        <row r="8">
          <cell r="A8" t="str">
            <v>155.02.02</v>
          </cell>
          <cell r="B8">
            <v>6.9</v>
          </cell>
        </row>
        <row r="9">
          <cell r="A9" t="str">
            <v>155.02.03</v>
          </cell>
          <cell r="B9">
            <v>272.24</v>
          </cell>
        </row>
        <row r="10">
          <cell r="A10" t="str">
            <v>155.02.04</v>
          </cell>
          <cell r="B10">
            <v>16.39</v>
          </cell>
        </row>
        <row r="11">
          <cell r="A11" t="str">
            <v>155.02.05</v>
          </cell>
          <cell r="B11">
            <v>32.340000000000003</v>
          </cell>
        </row>
        <row r="12">
          <cell r="A12" t="str">
            <v>155.02.06</v>
          </cell>
          <cell r="B12">
            <v>3700</v>
          </cell>
        </row>
        <row r="13">
          <cell r="A13" t="str">
            <v>155.02.07</v>
          </cell>
          <cell r="B13">
            <v>110</v>
          </cell>
        </row>
        <row r="14">
          <cell r="A14" t="str">
            <v>155.03.01</v>
          </cell>
          <cell r="B14">
            <v>19.57</v>
          </cell>
        </row>
        <row r="15">
          <cell r="A15" t="str">
            <v>155.03.02</v>
          </cell>
          <cell r="B15">
            <v>1</v>
          </cell>
        </row>
        <row r="16">
          <cell r="A16" t="str">
            <v>155.03.03</v>
          </cell>
          <cell r="B16">
            <v>14.37</v>
          </cell>
        </row>
        <row r="17">
          <cell r="A17" t="str">
            <v>155.03.04</v>
          </cell>
          <cell r="B17">
            <v>12.4</v>
          </cell>
        </row>
        <row r="18">
          <cell r="A18" t="str">
            <v>155.03.05</v>
          </cell>
          <cell r="B18">
            <v>69.569999999999993</v>
          </cell>
        </row>
        <row r="19">
          <cell r="A19" t="str">
            <v>155.03.06</v>
          </cell>
          <cell r="B19">
            <v>40.64</v>
          </cell>
        </row>
        <row r="20">
          <cell r="A20" t="str">
            <v>155.03.07</v>
          </cell>
          <cell r="B20">
            <v>6.9</v>
          </cell>
        </row>
        <row r="21">
          <cell r="A21" t="str">
            <v>155.03.08</v>
          </cell>
          <cell r="B21">
            <v>349.43</v>
          </cell>
        </row>
        <row r="22">
          <cell r="A22" t="str">
            <v>155.03.09</v>
          </cell>
          <cell r="B22">
            <v>20.64</v>
          </cell>
        </row>
        <row r="23">
          <cell r="A23" t="str">
            <v>165.01.01</v>
          </cell>
          <cell r="B23">
            <v>64.59</v>
          </cell>
        </row>
        <row r="24">
          <cell r="A24" t="str">
            <v>165.01.02</v>
          </cell>
          <cell r="B24">
            <v>16</v>
          </cell>
        </row>
        <row r="25">
          <cell r="A25" t="str">
            <v>165.02.01</v>
          </cell>
          <cell r="B25">
            <v>6.9</v>
          </cell>
        </row>
        <row r="26">
          <cell r="A26" t="str">
            <v>165.03.01</v>
          </cell>
          <cell r="B26">
            <v>366.86</v>
          </cell>
        </row>
        <row r="27">
          <cell r="A27" t="str">
            <v>165.03.02</v>
          </cell>
          <cell r="B27">
            <v>101.15</v>
          </cell>
        </row>
        <row r="28">
          <cell r="A28" t="str">
            <v>165.03.03</v>
          </cell>
          <cell r="B28">
            <v>15</v>
          </cell>
        </row>
        <row r="29">
          <cell r="A29" t="str">
            <v>165.04.01</v>
          </cell>
          <cell r="B29">
            <v>8.5</v>
          </cell>
        </row>
        <row r="30">
          <cell r="A30" t="str">
            <v>165.05.01</v>
          </cell>
          <cell r="B30">
            <v>22</v>
          </cell>
        </row>
        <row r="31">
          <cell r="A31" t="str">
            <v>165.05.02</v>
          </cell>
          <cell r="B31">
            <v>6.9</v>
          </cell>
        </row>
        <row r="32">
          <cell r="A32" t="str">
            <v>165.05.03</v>
          </cell>
          <cell r="B32">
            <v>366.86</v>
          </cell>
        </row>
        <row r="33">
          <cell r="A33" t="str">
            <v>165.05.04</v>
          </cell>
          <cell r="B33">
            <v>101.15</v>
          </cell>
        </row>
        <row r="34">
          <cell r="A34" t="str">
            <v>175.01.01</v>
          </cell>
          <cell r="B34">
            <v>34.19</v>
          </cell>
        </row>
        <row r="35">
          <cell r="A35" t="str">
            <v>175.01.02</v>
          </cell>
          <cell r="B35">
            <v>6.84</v>
          </cell>
        </row>
        <row r="36">
          <cell r="A36" t="str">
            <v>175.01.03</v>
          </cell>
          <cell r="B36">
            <v>6.9</v>
          </cell>
        </row>
        <row r="37">
          <cell r="A37" t="str">
            <v>175.01.04</v>
          </cell>
          <cell r="B37">
            <v>327.41000000000003</v>
          </cell>
        </row>
        <row r="38">
          <cell r="A38" t="str">
            <v>175.01.05</v>
          </cell>
          <cell r="B38">
            <v>29</v>
          </cell>
        </row>
        <row r="39">
          <cell r="A39" t="str">
            <v>175.02.01</v>
          </cell>
          <cell r="B39">
            <v>41.21</v>
          </cell>
        </row>
        <row r="40">
          <cell r="A40" t="str">
            <v>175.02.02</v>
          </cell>
          <cell r="B40">
            <v>6.84</v>
          </cell>
        </row>
        <row r="41">
          <cell r="A41" t="str">
            <v>175.02.03</v>
          </cell>
          <cell r="B41">
            <v>6.9</v>
          </cell>
        </row>
        <row r="42">
          <cell r="A42" t="str">
            <v>175.02.04</v>
          </cell>
          <cell r="B42">
            <v>327.41000000000003</v>
          </cell>
        </row>
        <row r="43">
          <cell r="A43" t="str">
            <v>175.03.01</v>
          </cell>
          <cell r="B43">
            <v>44</v>
          </cell>
        </row>
        <row r="44">
          <cell r="A44" t="str">
            <v>TM185.01</v>
          </cell>
          <cell r="B44">
            <v>520</v>
          </cell>
        </row>
        <row r="45">
          <cell r="A45" t="str">
            <v>TM185.02</v>
          </cell>
          <cell r="B45">
            <v>600</v>
          </cell>
        </row>
        <row r="46">
          <cell r="A46" t="str">
            <v>TM185.03</v>
          </cell>
          <cell r="B46">
            <v>290</v>
          </cell>
        </row>
        <row r="47">
          <cell r="A47" t="str">
            <v>TM185.04</v>
          </cell>
          <cell r="B47">
            <v>160</v>
          </cell>
        </row>
        <row r="48">
          <cell r="A48" t="str">
            <v>TM185.05</v>
          </cell>
          <cell r="B48">
            <v>186.58</v>
          </cell>
        </row>
        <row r="49">
          <cell r="A49" t="str">
            <v>185.04</v>
          </cell>
          <cell r="B49">
            <v>30</v>
          </cell>
        </row>
        <row r="50">
          <cell r="A50" t="str">
            <v>185.01</v>
          </cell>
          <cell r="B50">
            <v>186.58</v>
          </cell>
        </row>
        <row r="51">
          <cell r="A51" t="str">
            <v>TA185.02</v>
          </cell>
        </row>
        <row r="52">
          <cell r="A52" t="str">
            <v>185.02</v>
          </cell>
          <cell r="B52">
            <v>55.87</v>
          </cell>
        </row>
        <row r="53">
          <cell r="A53" t="str">
            <v>185.03</v>
          </cell>
          <cell r="B53">
            <v>350</v>
          </cell>
        </row>
        <row r="54">
          <cell r="A54" t="str">
            <v>P185.01</v>
          </cell>
        </row>
        <row r="55">
          <cell r="A55" t="str">
            <v>P185.02</v>
          </cell>
        </row>
        <row r="56">
          <cell r="A56" t="str">
            <v>185.06</v>
          </cell>
          <cell r="B56">
            <v>55.87</v>
          </cell>
        </row>
        <row r="57">
          <cell r="A57" t="str">
            <v>185.14</v>
          </cell>
          <cell r="B57">
            <v>350</v>
          </cell>
        </row>
        <row r="58">
          <cell r="A58" t="str">
            <v>185.16</v>
          </cell>
          <cell r="B58">
            <v>186.58</v>
          </cell>
        </row>
        <row r="59">
          <cell r="A59" t="str">
            <v>185.17</v>
          </cell>
          <cell r="B59">
            <v>350</v>
          </cell>
        </row>
        <row r="60">
          <cell r="A60" t="str">
            <v>EDL185.01</v>
          </cell>
        </row>
        <row r="61">
          <cell r="A61" t="str">
            <v>EDL185.02</v>
          </cell>
        </row>
        <row r="62">
          <cell r="A62" t="str">
            <v>EDL185.03</v>
          </cell>
        </row>
        <row r="63">
          <cell r="A63" t="str">
            <v>AC185.01</v>
          </cell>
        </row>
        <row r="64">
          <cell r="A64" t="str">
            <v>AC185.02</v>
          </cell>
        </row>
        <row r="65">
          <cell r="A65" t="str">
            <v>AC185.03</v>
          </cell>
        </row>
        <row r="66">
          <cell r="A66" t="str">
            <v>AC185.04</v>
          </cell>
        </row>
        <row r="67">
          <cell r="A67" t="str">
            <v>195.01</v>
          </cell>
          <cell r="B67">
            <v>160</v>
          </cell>
        </row>
        <row r="68">
          <cell r="A68" t="str">
            <v>195.02</v>
          </cell>
          <cell r="B68">
            <v>130</v>
          </cell>
        </row>
        <row r="69">
          <cell r="A69" t="str">
            <v>195.03</v>
          </cell>
          <cell r="B69">
            <v>220</v>
          </cell>
        </row>
        <row r="70">
          <cell r="A70" t="str">
            <v>195.04</v>
          </cell>
          <cell r="B70">
            <v>185</v>
          </cell>
        </row>
        <row r="71">
          <cell r="A71" t="str">
            <v>195.05</v>
          </cell>
          <cell r="B71">
            <v>165</v>
          </cell>
        </row>
        <row r="72">
          <cell r="A72" t="str">
            <v>195.06</v>
          </cell>
          <cell r="B72">
            <v>40</v>
          </cell>
        </row>
        <row r="73">
          <cell r="A73" t="str">
            <v>195.07</v>
          </cell>
          <cell r="B73">
            <v>65</v>
          </cell>
        </row>
        <row r="74">
          <cell r="A74" t="str">
            <v>195.08</v>
          </cell>
          <cell r="B74">
            <v>35</v>
          </cell>
        </row>
        <row r="75">
          <cell r="A75" t="str">
            <v>195.01.01</v>
          </cell>
        </row>
        <row r="76">
          <cell r="A76" t="str">
            <v>195.01.02</v>
          </cell>
        </row>
        <row r="77">
          <cell r="A77" t="str">
            <v>195.01.03</v>
          </cell>
        </row>
        <row r="78">
          <cell r="A78" t="str">
            <v>195.01.04</v>
          </cell>
        </row>
        <row r="79">
          <cell r="A79" t="str">
            <v>195.01.05</v>
          </cell>
        </row>
        <row r="80">
          <cell r="A80" t="str">
            <v>195.01.06</v>
          </cell>
        </row>
        <row r="81">
          <cell r="A81" t="str">
            <v>195.01.07</v>
          </cell>
        </row>
        <row r="82">
          <cell r="A82" t="str">
            <v>195.01.08</v>
          </cell>
        </row>
        <row r="83">
          <cell r="A83" t="str">
            <v>205.01</v>
          </cell>
          <cell r="B83">
            <v>64</v>
          </cell>
        </row>
        <row r="84">
          <cell r="A84" t="str">
            <v>205.02</v>
          </cell>
          <cell r="B84">
            <v>180</v>
          </cell>
        </row>
        <row r="85">
          <cell r="A85" t="str">
            <v>205.03</v>
          </cell>
          <cell r="B85">
            <v>64</v>
          </cell>
        </row>
        <row r="86">
          <cell r="A86" t="str">
            <v>205.04</v>
          </cell>
          <cell r="B86">
            <v>64</v>
          </cell>
        </row>
        <row r="87">
          <cell r="A87" t="str">
            <v>215.01.01</v>
          </cell>
          <cell r="B87">
            <v>8.5</v>
          </cell>
        </row>
        <row r="88">
          <cell r="A88" t="str">
            <v>215.02.01</v>
          </cell>
          <cell r="B88">
            <v>20.5</v>
          </cell>
        </row>
        <row r="89">
          <cell r="A89" t="str">
            <v>215.02.02</v>
          </cell>
          <cell r="B89">
            <v>14.5</v>
          </cell>
        </row>
        <row r="90">
          <cell r="A90" t="str">
            <v>215.03.01</v>
          </cell>
          <cell r="B90">
            <v>15</v>
          </cell>
        </row>
        <row r="91">
          <cell r="A91" t="str">
            <v>215.03.02</v>
          </cell>
          <cell r="B91">
            <v>10</v>
          </cell>
        </row>
        <row r="92">
          <cell r="A92" t="str">
            <v>215.03.03</v>
          </cell>
          <cell r="B92">
            <v>10</v>
          </cell>
        </row>
        <row r="93">
          <cell r="A93" t="str">
            <v>225.01.01</v>
          </cell>
          <cell r="B93">
            <v>18</v>
          </cell>
        </row>
        <row r="94">
          <cell r="A94" t="str">
            <v>225.01.02</v>
          </cell>
          <cell r="B94">
            <v>32</v>
          </cell>
        </row>
        <row r="95">
          <cell r="A95" t="str">
            <v>225.02.01</v>
          </cell>
          <cell r="B95">
            <v>15</v>
          </cell>
        </row>
        <row r="96">
          <cell r="A96" t="str">
            <v>225.02.02</v>
          </cell>
          <cell r="B96">
            <v>2.09</v>
          </cell>
        </row>
        <row r="97">
          <cell r="A97" t="str">
            <v>225.03.01</v>
          </cell>
          <cell r="B97">
            <v>30.03</v>
          </cell>
        </row>
        <row r="98">
          <cell r="A98" t="str">
            <v>225.03.02</v>
          </cell>
          <cell r="B98">
            <v>21</v>
          </cell>
        </row>
        <row r="99">
          <cell r="A99" t="str">
            <v>225.03.03</v>
          </cell>
          <cell r="B99">
            <v>32</v>
          </cell>
        </row>
        <row r="100">
          <cell r="A100" t="str">
            <v>235.01.01</v>
          </cell>
          <cell r="B100">
            <v>3.5</v>
          </cell>
        </row>
        <row r="101">
          <cell r="A101" t="str">
            <v>235.01.02</v>
          </cell>
          <cell r="B101">
            <v>20.64</v>
          </cell>
        </row>
        <row r="102">
          <cell r="A102" t="str">
            <v>235.01.03</v>
          </cell>
          <cell r="B102">
            <v>4.8</v>
          </cell>
        </row>
        <row r="103">
          <cell r="A103" t="str">
            <v>235.01.04</v>
          </cell>
          <cell r="B103">
            <v>20.64</v>
          </cell>
        </row>
        <row r="104">
          <cell r="A104" t="str">
            <v>235.01.05</v>
          </cell>
          <cell r="B104">
            <v>13</v>
          </cell>
        </row>
        <row r="105">
          <cell r="A105" t="str">
            <v>235.01.06</v>
          </cell>
          <cell r="B105">
            <v>12</v>
          </cell>
        </row>
        <row r="106">
          <cell r="A106" t="str">
            <v>235.01.07</v>
          </cell>
          <cell r="B106">
            <v>12</v>
          </cell>
        </row>
        <row r="107">
          <cell r="A107" t="str">
            <v>235.02.01</v>
          </cell>
          <cell r="B107">
            <v>3.5</v>
          </cell>
        </row>
        <row r="108">
          <cell r="A108" t="str">
            <v>235.02.02</v>
          </cell>
          <cell r="B108">
            <v>30.96</v>
          </cell>
        </row>
        <row r="109">
          <cell r="A109" t="str">
            <v>245.01.01</v>
          </cell>
          <cell r="B109">
            <v>30.67</v>
          </cell>
        </row>
        <row r="110">
          <cell r="A110" t="str">
            <v>245.01.02</v>
          </cell>
          <cell r="B110">
            <v>80.28</v>
          </cell>
        </row>
        <row r="111">
          <cell r="A111" t="str">
            <v>245.01.03</v>
          </cell>
          <cell r="B111">
            <v>57.61</v>
          </cell>
        </row>
        <row r="112">
          <cell r="A112" t="str">
            <v>245.01.04</v>
          </cell>
          <cell r="B112">
            <v>102</v>
          </cell>
        </row>
        <row r="113">
          <cell r="A113" t="str">
            <v>245.02.01</v>
          </cell>
          <cell r="B113">
            <v>32</v>
          </cell>
        </row>
        <row r="114">
          <cell r="A114" t="str">
            <v>245.03.01</v>
          </cell>
          <cell r="B114">
            <v>45</v>
          </cell>
        </row>
        <row r="115">
          <cell r="A115" t="str">
            <v>245.03.02</v>
          </cell>
          <cell r="B115">
            <v>2.5</v>
          </cell>
        </row>
        <row r="116">
          <cell r="A116" t="str">
            <v>245.03.03</v>
          </cell>
          <cell r="B116">
            <v>13.2</v>
          </cell>
        </row>
        <row r="117">
          <cell r="A117" t="str">
            <v>245.03.04</v>
          </cell>
          <cell r="B117">
            <v>12.3</v>
          </cell>
        </row>
        <row r="118">
          <cell r="A118" t="str">
            <v>245.04</v>
          </cell>
          <cell r="B118">
            <v>23</v>
          </cell>
        </row>
        <row r="119">
          <cell r="A119" t="str">
            <v>245.04.01</v>
          </cell>
          <cell r="B119">
            <v>36</v>
          </cell>
        </row>
        <row r="120">
          <cell r="A120" t="str">
            <v>245.04.02</v>
          </cell>
          <cell r="B120">
            <v>60</v>
          </cell>
        </row>
        <row r="121">
          <cell r="A121" t="str">
            <v>245.04.03</v>
          </cell>
          <cell r="B121">
            <v>60</v>
          </cell>
        </row>
        <row r="122">
          <cell r="A122" t="str">
            <v>255.01.01</v>
          </cell>
          <cell r="B122">
            <v>15</v>
          </cell>
        </row>
        <row r="123">
          <cell r="A123" t="str">
            <v>255.01.02</v>
          </cell>
          <cell r="B123">
            <v>66.069999999999993</v>
          </cell>
        </row>
        <row r="124">
          <cell r="A124" t="str">
            <v>255.01.03</v>
          </cell>
          <cell r="B124">
            <v>12</v>
          </cell>
        </row>
        <row r="125">
          <cell r="A125" t="str">
            <v>255.02.01</v>
          </cell>
          <cell r="B125">
            <v>18</v>
          </cell>
        </row>
        <row r="126">
          <cell r="A126" t="str">
            <v>255.03.01</v>
          </cell>
          <cell r="B126">
            <v>3.5</v>
          </cell>
        </row>
        <row r="127">
          <cell r="A127" t="str">
            <v>255.03.02</v>
          </cell>
          <cell r="B127">
            <v>11.1</v>
          </cell>
        </row>
        <row r="128">
          <cell r="A128" t="str">
            <v>255.03.03</v>
          </cell>
          <cell r="B128">
            <v>11.1</v>
          </cell>
        </row>
        <row r="129">
          <cell r="A129" t="str">
            <v>255.03.04</v>
          </cell>
          <cell r="B129">
            <v>11.1</v>
          </cell>
        </row>
        <row r="130">
          <cell r="A130" t="str">
            <v>255.04.01</v>
          </cell>
          <cell r="B130">
            <v>11.4</v>
          </cell>
        </row>
        <row r="131">
          <cell r="A131" t="str">
            <v>265.01</v>
          </cell>
        </row>
        <row r="132">
          <cell r="A132" t="str">
            <v>265.02</v>
          </cell>
        </row>
        <row r="133">
          <cell r="A133" t="str">
            <v>265.03</v>
          </cell>
        </row>
        <row r="134">
          <cell r="A134" t="str">
            <v>265.04</v>
          </cell>
        </row>
        <row r="135">
          <cell r="A135" t="str">
            <v>265.05</v>
          </cell>
        </row>
        <row r="136">
          <cell r="A136" t="str">
            <v>265.06</v>
          </cell>
        </row>
        <row r="137">
          <cell r="A137" t="str">
            <v>265.07</v>
          </cell>
        </row>
        <row r="138">
          <cell r="A138" t="str">
            <v>265.08</v>
          </cell>
        </row>
        <row r="139">
          <cell r="A139" t="str">
            <v>265.09</v>
          </cell>
        </row>
        <row r="140">
          <cell r="A140" t="str">
            <v>265.10</v>
          </cell>
        </row>
        <row r="141">
          <cell r="A141" t="str">
            <v>265.11</v>
          </cell>
        </row>
        <row r="142">
          <cell r="A142" t="str">
            <v>265.12</v>
          </cell>
        </row>
        <row r="143">
          <cell r="A143" t="str">
            <v>265.13</v>
          </cell>
        </row>
        <row r="144">
          <cell r="A144" t="str">
            <v>265.14</v>
          </cell>
        </row>
        <row r="145">
          <cell r="A145" t="str">
            <v>315.01</v>
          </cell>
          <cell r="B145">
            <v>30.67</v>
          </cell>
        </row>
        <row r="146">
          <cell r="A146" t="str">
            <v>315.02</v>
          </cell>
          <cell r="B146">
            <v>25.76</v>
          </cell>
        </row>
        <row r="147">
          <cell r="A147" t="str">
            <v>325.01</v>
          </cell>
          <cell r="B147">
            <v>5</v>
          </cell>
        </row>
        <row r="148">
          <cell r="A148" t="str">
            <v>325.02</v>
          </cell>
          <cell r="B148">
            <v>26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sheetPr codeName="Planilha1">
    <tabColor rgb="FFFFFF00"/>
  </sheetPr>
  <dimension ref="A1:A57"/>
  <sheetViews>
    <sheetView view="pageBreakPreview" topLeftCell="A43" zoomScale="160" zoomScaleNormal="115" zoomScaleSheetLayoutView="160" workbookViewId="0">
      <selection activeCell="A9" sqref="A9"/>
    </sheetView>
  </sheetViews>
  <sheetFormatPr defaultRowHeight="12.75"/>
  <cols>
    <col min="1" max="1" width="111.7109375" customWidth="1"/>
  </cols>
  <sheetData>
    <row r="1" spans="1:1" ht="16.5" thickBot="1">
      <c r="A1" s="102" t="s">
        <v>150</v>
      </c>
    </row>
    <row r="3" spans="1:1" s="97" customFormat="1" ht="30">
      <c r="A3" s="96" t="s">
        <v>145</v>
      </c>
    </row>
    <row r="4" spans="1:1" s="97" customFormat="1" ht="17.100000000000001" customHeight="1">
      <c r="A4" s="96"/>
    </row>
    <row r="5" spans="1:1" s="97" customFormat="1" ht="17.100000000000001" customHeight="1">
      <c r="A5" s="98" t="s">
        <v>142</v>
      </c>
    </row>
    <row r="6" spans="1:1" s="97" customFormat="1" ht="17.100000000000001" customHeight="1">
      <c r="A6" s="98"/>
    </row>
    <row r="7" spans="1:1" s="97" customFormat="1" ht="17.100000000000001" customHeight="1">
      <c r="A7" s="99" t="s">
        <v>143</v>
      </c>
    </row>
    <row r="8" spans="1:1" s="97" customFormat="1" ht="30">
      <c r="A8" s="96" t="s">
        <v>149</v>
      </c>
    </row>
    <row r="9" spans="1:1" s="97" customFormat="1" ht="17.100000000000001" customHeight="1">
      <c r="A9" s="98"/>
    </row>
    <row r="10" spans="1:1" s="97" customFormat="1" ht="17.100000000000001" customHeight="1">
      <c r="A10" s="99" t="s">
        <v>146</v>
      </c>
    </row>
    <row r="11" spans="1:1" s="97" customFormat="1" ht="30">
      <c r="A11" s="101" t="s">
        <v>166</v>
      </c>
    </row>
    <row r="12" spans="1:1" s="97" customFormat="1" ht="17.100000000000001" customHeight="1">
      <c r="A12" s="98"/>
    </row>
    <row r="13" spans="1:1" s="97" customFormat="1" ht="30.75" customHeight="1">
      <c r="A13" s="103" t="s">
        <v>147</v>
      </c>
    </row>
    <row r="14" spans="1:1" s="97" customFormat="1" ht="17.100000000000001" customHeight="1">
      <c r="A14" s="98" t="s">
        <v>148</v>
      </c>
    </row>
    <row r="15" spans="1:1" s="98" customFormat="1" ht="30.75" customHeight="1">
      <c r="A15" s="104" t="s">
        <v>153</v>
      </c>
    </row>
    <row r="16" spans="1:1" s="98" customFormat="1" ht="105.75" customHeight="1">
      <c r="A16" s="101" t="s">
        <v>154</v>
      </c>
    </row>
    <row r="17" s="98" customFormat="1" ht="17.100000000000001" customHeight="1"/>
    <row r="18" s="98" customFormat="1" ht="17.100000000000001" customHeight="1"/>
    <row r="19" s="98" customFormat="1" ht="17.100000000000001" customHeight="1"/>
    <row r="20" s="98" customFormat="1" ht="17.100000000000001" customHeight="1"/>
    <row r="21" s="98" customFormat="1" ht="17.100000000000001" customHeight="1"/>
    <row r="22" s="98" customFormat="1" ht="17.100000000000001" customHeight="1"/>
    <row r="23" s="98" customFormat="1" ht="17.100000000000001" customHeight="1"/>
    <row r="24" s="98" customFormat="1" ht="17.100000000000001" customHeight="1"/>
    <row r="25" s="98" customFormat="1" ht="17.100000000000001" customHeight="1"/>
    <row r="26" s="98" customFormat="1" ht="17.100000000000001" customHeight="1"/>
    <row r="27" s="98" customFormat="1" ht="17.100000000000001" customHeight="1"/>
    <row r="28" s="98" customFormat="1" ht="17.100000000000001" customHeight="1"/>
    <row r="29" s="98" customFormat="1" ht="17.100000000000001" customHeight="1"/>
    <row r="30" s="98" customFormat="1" ht="17.100000000000001" customHeight="1"/>
    <row r="31" s="98" customFormat="1" ht="17.100000000000001" customHeight="1"/>
    <row r="32" s="98" customFormat="1" ht="17.100000000000001" customHeight="1"/>
    <row r="33" spans="1:1" s="98" customFormat="1" ht="20.25" customHeight="1">
      <c r="A33" s="100" t="s">
        <v>155</v>
      </c>
    </row>
    <row r="34" spans="1:1" s="98" customFormat="1" ht="63" customHeight="1">
      <c r="A34" s="101" t="s">
        <v>158</v>
      </c>
    </row>
    <row r="35" spans="1:1" s="98" customFormat="1" ht="52.5" customHeight="1">
      <c r="A35" s="101" t="s">
        <v>159</v>
      </c>
    </row>
    <row r="36" spans="1:1" s="98" customFormat="1" ht="43.5" customHeight="1">
      <c r="A36" s="101" t="s">
        <v>160</v>
      </c>
    </row>
    <row r="37" spans="1:1" s="98" customFormat="1" ht="48.75" customHeight="1">
      <c r="A37" s="101" t="s">
        <v>167</v>
      </c>
    </row>
    <row r="38" spans="1:1" s="98" customFormat="1" ht="17.100000000000001" customHeight="1"/>
    <row r="39" spans="1:1" s="97" customFormat="1" ht="17.100000000000001" customHeight="1">
      <c r="A39" s="99" t="s">
        <v>156</v>
      </c>
    </row>
    <row r="40" spans="1:1" s="97" customFormat="1" ht="48.75" customHeight="1">
      <c r="A40" s="101" t="s">
        <v>157</v>
      </c>
    </row>
    <row r="41" spans="1:1" s="98" customFormat="1" ht="20.25" customHeight="1">
      <c r="A41" s="100" t="s">
        <v>155</v>
      </c>
    </row>
    <row r="42" spans="1:1" s="98" customFormat="1" ht="102" customHeight="1">
      <c r="A42" s="101" t="s">
        <v>161</v>
      </c>
    </row>
    <row r="43" spans="1:1" s="98" customFormat="1" ht="17.100000000000001" customHeight="1"/>
    <row r="44" spans="1:1" s="98" customFormat="1" ht="17.100000000000001" customHeight="1"/>
    <row r="45" spans="1:1" s="98" customFormat="1" ht="17.100000000000001" customHeight="1"/>
    <row r="46" spans="1:1" s="98" customFormat="1" ht="17.100000000000001" customHeight="1"/>
    <row r="47" spans="1:1" s="98" customFormat="1" ht="17.100000000000001" customHeight="1"/>
    <row r="48" spans="1:1" s="98" customFormat="1" ht="17.100000000000001" customHeight="1"/>
    <row r="49" spans="1:1" s="98" customFormat="1" ht="17.100000000000001" customHeight="1"/>
    <row r="50" spans="1:1" s="98" customFormat="1" ht="17.100000000000001" customHeight="1"/>
    <row r="51" spans="1:1" s="98" customFormat="1" ht="17.100000000000001" customHeight="1"/>
    <row r="52" spans="1:1" s="98" customFormat="1" ht="17.100000000000001" customHeight="1"/>
    <row r="53" spans="1:1" s="97" customFormat="1" ht="17.100000000000001" customHeight="1">
      <c r="A53" s="99" t="s">
        <v>163</v>
      </c>
    </row>
    <row r="54" spans="1:1" s="98" customFormat="1" ht="15">
      <c r="A54" s="98" t="s">
        <v>164</v>
      </c>
    </row>
    <row r="55" spans="1:1" s="98" customFormat="1" ht="17.100000000000001" customHeight="1" thickBot="1"/>
    <row r="56" spans="1:1" s="98" customFormat="1" ht="21" customHeight="1" thickBot="1">
      <c r="A56" s="102" t="s">
        <v>165</v>
      </c>
    </row>
    <row r="57" spans="1:1" s="97" customFormat="1" ht="58.5" customHeight="1">
      <c r="A57" s="101" t="s">
        <v>151</v>
      </c>
    </row>
  </sheetData>
  <printOptions horizontalCentered="1"/>
  <pageMargins left="0.59055118110236227" right="0.59055118110236227" top="0.78740157480314965" bottom="0.59055118110236227" header="0.31496062992125984" footer="0.31496062992125984"/>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sheetPr codeName="Planilha4"/>
  <dimension ref="C25:G33"/>
  <sheetViews>
    <sheetView zoomScaleNormal="100" workbookViewId="0">
      <selection activeCell="J44" sqref="J44"/>
    </sheetView>
  </sheetViews>
  <sheetFormatPr defaultRowHeight="12.75"/>
  <cols>
    <col min="3" max="3" width="13.140625" customWidth="1"/>
    <col min="4" max="4" width="39.7109375" customWidth="1"/>
  </cols>
  <sheetData>
    <row r="25" spans="3:4">
      <c r="C25" s="205" t="s">
        <v>985</v>
      </c>
      <c r="D25" s="317" t="s">
        <v>929</v>
      </c>
    </row>
    <row r="26" spans="3:4" ht="25.5">
      <c r="C26" s="205" t="s">
        <v>983</v>
      </c>
      <c r="D26" s="318" t="s">
        <v>984</v>
      </c>
    </row>
    <row r="33" spans="6:7">
      <c r="F33" s="236"/>
      <c r="G33" s="236"/>
    </row>
  </sheetData>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sheetPr codeName="Planilha8"/>
  <dimension ref="B1:N47"/>
  <sheetViews>
    <sheetView view="pageBreakPreview" topLeftCell="B1" zoomScale="60" zoomScaleNormal="85" workbookViewId="0">
      <selection activeCell="K2" sqref="K2:N4"/>
    </sheetView>
  </sheetViews>
  <sheetFormatPr defaultRowHeight="15"/>
  <cols>
    <col min="1" max="1" width="3.85546875" style="676" customWidth="1"/>
    <col min="2" max="2" width="5.42578125" style="676" bestFit="1" customWidth="1"/>
    <col min="3" max="3" width="76.7109375" style="676" customWidth="1"/>
    <col min="4" max="4" width="18.5703125" style="676" customWidth="1"/>
    <col min="5" max="5" width="11.85546875" style="676" customWidth="1"/>
    <col min="6" max="6" width="10" style="676" customWidth="1"/>
    <col min="7" max="7" width="13.7109375" style="676" customWidth="1"/>
    <col min="8" max="8" width="15" style="676" customWidth="1"/>
    <col min="9" max="9" width="13" style="676" customWidth="1"/>
    <col min="10" max="10" width="14.7109375" style="676" customWidth="1"/>
    <col min="11" max="11" width="12" style="676" customWidth="1"/>
    <col min="12" max="12" width="12.140625" style="676" customWidth="1"/>
    <col min="13" max="13" width="16.42578125" style="676" customWidth="1"/>
    <col min="14" max="256" width="9.140625" style="676"/>
    <col min="257" max="257" width="3.85546875" style="676" customWidth="1"/>
    <col min="258" max="258" width="5.42578125" style="676" bestFit="1" customWidth="1"/>
    <col min="259" max="259" width="89.42578125" style="676" customWidth="1"/>
    <col min="260" max="260" width="18.28515625" style="676" customWidth="1"/>
    <col min="261" max="261" width="12.85546875" style="676" bestFit="1" customWidth="1"/>
    <col min="262" max="262" width="8.5703125" style="676" customWidth="1"/>
    <col min="263" max="263" width="11.140625" style="676" bestFit="1" customWidth="1"/>
    <col min="264" max="264" width="18.28515625" style="676" customWidth="1"/>
    <col min="265" max="265" width="13" style="676" customWidth="1"/>
    <col min="266" max="266" width="12.85546875" style="676" bestFit="1" customWidth="1"/>
    <col min="267" max="267" width="11.7109375" style="676" customWidth="1"/>
    <col min="268" max="268" width="11.7109375" style="676" bestFit="1" customWidth="1"/>
    <col min="269" max="269" width="7.140625" style="676" customWidth="1"/>
    <col min="270" max="512" width="9.140625" style="676"/>
    <col min="513" max="513" width="3.85546875" style="676" customWidth="1"/>
    <col min="514" max="514" width="5.42578125" style="676" bestFit="1" customWidth="1"/>
    <col min="515" max="515" width="89.42578125" style="676" customWidth="1"/>
    <col min="516" max="516" width="18.28515625" style="676" customWidth="1"/>
    <col min="517" max="517" width="12.85546875" style="676" bestFit="1" customWidth="1"/>
    <col min="518" max="518" width="8.5703125" style="676" customWidth="1"/>
    <col min="519" max="519" width="11.140625" style="676" bestFit="1" customWidth="1"/>
    <col min="520" max="520" width="18.28515625" style="676" customWidth="1"/>
    <col min="521" max="521" width="13" style="676" customWidth="1"/>
    <col min="522" max="522" width="12.85546875" style="676" bestFit="1" customWidth="1"/>
    <col min="523" max="523" width="11.7109375" style="676" customWidth="1"/>
    <col min="524" max="524" width="11.7109375" style="676" bestFit="1" customWidth="1"/>
    <col min="525" max="525" width="7.140625" style="676" customWidth="1"/>
    <col min="526" max="768" width="9.140625" style="676"/>
    <col min="769" max="769" width="3.85546875" style="676" customWidth="1"/>
    <col min="770" max="770" width="5.42578125" style="676" bestFit="1" customWidth="1"/>
    <col min="771" max="771" width="89.42578125" style="676" customWidth="1"/>
    <col min="772" max="772" width="18.28515625" style="676" customWidth="1"/>
    <col min="773" max="773" width="12.85546875" style="676" bestFit="1" customWidth="1"/>
    <col min="774" max="774" width="8.5703125" style="676" customWidth="1"/>
    <col min="775" max="775" width="11.140625" style="676" bestFit="1" customWidth="1"/>
    <col min="776" max="776" width="18.28515625" style="676" customWidth="1"/>
    <col min="777" max="777" width="13" style="676" customWidth="1"/>
    <col min="778" max="778" width="12.85546875" style="676" bestFit="1" customWidth="1"/>
    <col min="779" max="779" width="11.7109375" style="676" customWidth="1"/>
    <col min="780" max="780" width="11.7109375" style="676" bestFit="1" customWidth="1"/>
    <col min="781" max="781" width="7.140625" style="676" customWidth="1"/>
    <col min="782" max="1024" width="9.140625" style="676"/>
    <col min="1025" max="1025" width="3.85546875" style="676" customWidth="1"/>
    <col min="1026" max="1026" width="5.42578125" style="676" bestFit="1" customWidth="1"/>
    <col min="1027" max="1027" width="89.42578125" style="676" customWidth="1"/>
    <col min="1028" max="1028" width="18.28515625" style="676" customWidth="1"/>
    <col min="1029" max="1029" width="12.85546875" style="676" bestFit="1" customWidth="1"/>
    <col min="1030" max="1030" width="8.5703125" style="676" customWidth="1"/>
    <col min="1031" max="1031" width="11.140625" style="676" bestFit="1" customWidth="1"/>
    <col min="1032" max="1032" width="18.28515625" style="676" customWidth="1"/>
    <col min="1033" max="1033" width="13" style="676" customWidth="1"/>
    <col min="1034" max="1034" width="12.85546875" style="676" bestFit="1" customWidth="1"/>
    <col min="1035" max="1035" width="11.7109375" style="676" customWidth="1"/>
    <col min="1036" max="1036" width="11.7109375" style="676" bestFit="1" customWidth="1"/>
    <col min="1037" max="1037" width="7.140625" style="676" customWidth="1"/>
    <col min="1038" max="1280" width="9.140625" style="676"/>
    <col min="1281" max="1281" width="3.85546875" style="676" customWidth="1"/>
    <col min="1282" max="1282" width="5.42578125" style="676" bestFit="1" customWidth="1"/>
    <col min="1283" max="1283" width="89.42578125" style="676" customWidth="1"/>
    <col min="1284" max="1284" width="18.28515625" style="676" customWidth="1"/>
    <col min="1285" max="1285" width="12.85546875" style="676" bestFit="1" customWidth="1"/>
    <col min="1286" max="1286" width="8.5703125" style="676" customWidth="1"/>
    <col min="1287" max="1287" width="11.140625" style="676" bestFit="1" customWidth="1"/>
    <col min="1288" max="1288" width="18.28515625" style="676" customWidth="1"/>
    <col min="1289" max="1289" width="13" style="676" customWidth="1"/>
    <col min="1290" max="1290" width="12.85546875" style="676" bestFit="1" customWidth="1"/>
    <col min="1291" max="1291" width="11.7109375" style="676" customWidth="1"/>
    <col min="1292" max="1292" width="11.7109375" style="676" bestFit="1" customWidth="1"/>
    <col min="1293" max="1293" width="7.140625" style="676" customWidth="1"/>
    <col min="1294" max="1536" width="9.140625" style="676"/>
    <col min="1537" max="1537" width="3.85546875" style="676" customWidth="1"/>
    <col min="1538" max="1538" width="5.42578125" style="676" bestFit="1" customWidth="1"/>
    <col min="1539" max="1539" width="89.42578125" style="676" customWidth="1"/>
    <col min="1540" max="1540" width="18.28515625" style="676" customWidth="1"/>
    <col min="1541" max="1541" width="12.85546875" style="676" bestFit="1" customWidth="1"/>
    <col min="1542" max="1542" width="8.5703125" style="676" customWidth="1"/>
    <col min="1543" max="1543" width="11.140625" style="676" bestFit="1" customWidth="1"/>
    <col min="1544" max="1544" width="18.28515625" style="676" customWidth="1"/>
    <col min="1545" max="1545" width="13" style="676" customWidth="1"/>
    <col min="1546" max="1546" width="12.85546875" style="676" bestFit="1" customWidth="1"/>
    <col min="1547" max="1547" width="11.7109375" style="676" customWidth="1"/>
    <col min="1548" max="1548" width="11.7109375" style="676" bestFit="1" customWidth="1"/>
    <col min="1549" max="1549" width="7.140625" style="676" customWidth="1"/>
    <col min="1550" max="1792" width="9.140625" style="676"/>
    <col min="1793" max="1793" width="3.85546875" style="676" customWidth="1"/>
    <col min="1794" max="1794" width="5.42578125" style="676" bestFit="1" customWidth="1"/>
    <col min="1795" max="1795" width="89.42578125" style="676" customWidth="1"/>
    <col min="1796" max="1796" width="18.28515625" style="676" customWidth="1"/>
    <col min="1797" max="1797" width="12.85546875" style="676" bestFit="1" customWidth="1"/>
    <col min="1798" max="1798" width="8.5703125" style="676" customWidth="1"/>
    <col min="1799" max="1799" width="11.140625" style="676" bestFit="1" customWidth="1"/>
    <col min="1800" max="1800" width="18.28515625" style="676" customWidth="1"/>
    <col min="1801" max="1801" width="13" style="676" customWidth="1"/>
    <col min="1802" max="1802" width="12.85546875" style="676" bestFit="1" customWidth="1"/>
    <col min="1803" max="1803" width="11.7109375" style="676" customWidth="1"/>
    <col min="1804" max="1804" width="11.7109375" style="676" bestFit="1" customWidth="1"/>
    <col min="1805" max="1805" width="7.140625" style="676" customWidth="1"/>
    <col min="1806" max="2048" width="9.140625" style="676"/>
    <col min="2049" max="2049" width="3.85546875" style="676" customWidth="1"/>
    <col min="2050" max="2050" width="5.42578125" style="676" bestFit="1" customWidth="1"/>
    <col min="2051" max="2051" width="89.42578125" style="676" customWidth="1"/>
    <col min="2052" max="2052" width="18.28515625" style="676" customWidth="1"/>
    <col min="2053" max="2053" width="12.85546875" style="676" bestFit="1" customWidth="1"/>
    <col min="2054" max="2054" width="8.5703125" style="676" customWidth="1"/>
    <col min="2055" max="2055" width="11.140625" style="676" bestFit="1" customWidth="1"/>
    <col min="2056" max="2056" width="18.28515625" style="676" customWidth="1"/>
    <col min="2057" max="2057" width="13" style="676" customWidth="1"/>
    <col min="2058" max="2058" width="12.85546875" style="676" bestFit="1" customWidth="1"/>
    <col min="2059" max="2059" width="11.7109375" style="676" customWidth="1"/>
    <col min="2060" max="2060" width="11.7109375" style="676" bestFit="1" customWidth="1"/>
    <col min="2061" max="2061" width="7.140625" style="676" customWidth="1"/>
    <col min="2062" max="2304" width="9.140625" style="676"/>
    <col min="2305" max="2305" width="3.85546875" style="676" customWidth="1"/>
    <col min="2306" max="2306" width="5.42578125" style="676" bestFit="1" customWidth="1"/>
    <col min="2307" max="2307" width="89.42578125" style="676" customWidth="1"/>
    <col min="2308" max="2308" width="18.28515625" style="676" customWidth="1"/>
    <col min="2309" max="2309" width="12.85546875" style="676" bestFit="1" customWidth="1"/>
    <col min="2310" max="2310" width="8.5703125" style="676" customWidth="1"/>
    <col min="2311" max="2311" width="11.140625" style="676" bestFit="1" customWidth="1"/>
    <col min="2312" max="2312" width="18.28515625" style="676" customWidth="1"/>
    <col min="2313" max="2313" width="13" style="676" customWidth="1"/>
    <col min="2314" max="2314" width="12.85546875" style="676" bestFit="1" customWidth="1"/>
    <col min="2315" max="2315" width="11.7109375" style="676" customWidth="1"/>
    <col min="2316" max="2316" width="11.7109375" style="676" bestFit="1" customWidth="1"/>
    <col min="2317" max="2317" width="7.140625" style="676" customWidth="1"/>
    <col min="2318" max="2560" width="9.140625" style="676"/>
    <col min="2561" max="2561" width="3.85546875" style="676" customWidth="1"/>
    <col min="2562" max="2562" width="5.42578125" style="676" bestFit="1" customWidth="1"/>
    <col min="2563" max="2563" width="89.42578125" style="676" customWidth="1"/>
    <col min="2564" max="2564" width="18.28515625" style="676" customWidth="1"/>
    <col min="2565" max="2565" width="12.85546875" style="676" bestFit="1" customWidth="1"/>
    <col min="2566" max="2566" width="8.5703125" style="676" customWidth="1"/>
    <col min="2567" max="2567" width="11.140625" style="676" bestFit="1" customWidth="1"/>
    <col min="2568" max="2568" width="18.28515625" style="676" customWidth="1"/>
    <col min="2569" max="2569" width="13" style="676" customWidth="1"/>
    <col min="2570" max="2570" width="12.85546875" style="676" bestFit="1" customWidth="1"/>
    <col min="2571" max="2571" width="11.7109375" style="676" customWidth="1"/>
    <col min="2572" max="2572" width="11.7109375" style="676" bestFit="1" customWidth="1"/>
    <col min="2573" max="2573" width="7.140625" style="676" customWidth="1"/>
    <col min="2574" max="2816" width="9.140625" style="676"/>
    <col min="2817" max="2817" width="3.85546875" style="676" customWidth="1"/>
    <col min="2818" max="2818" width="5.42578125" style="676" bestFit="1" customWidth="1"/>
    <col min="2819" max="2819" width="89.42578125" style="676" customWidth="1"/>
    <col min="2820" max="2820" width="18.28515625" style="676" customWidth="1"/>
    <col min="2821" max="2821" width="12.85546875" style="676" bestFit="1" customWidth="1"/>
    <col min="2822" max="2822" width="8.5703125" style="676" customWidth="1"/>
    <col min="2823" max="2823" width="11.140625" style="676" bestFit="1" customWidth="1"/>
    <col min="2824" max="2824" width="18.28515625" style="676" customWidth="1"/>
    <col min="2825" max="2825" width="13" style="676" customWidth="1"/>
    <col min="2826" max="2826" width="12.85546875" style="676" bestFit="1" customWidth="1"/>
    <col min="2827" max="2827" width="11.7109375" style="676" customWidth="1"/>
    <col min="2828" max="2828" width="11.7109375" style="676" bestFit="1" customWidth="1"/>
    <col min="2829" max="2829" width="7.140625" style="676" customWidth="1"/>
    <col min="2830" max="3072" width="9.140625" style="676"/>
    <col min="3073" max="3073" width="3.85546875" style="676" customWidth="1"/>
    <col min="3074" max="3074" width="5.42578125" style="676" bestFit="1" customWidth="1"/>
    <col min="3075" max="3075" width="89.42578125" style="676" customWidth="1"/>
    <col min="3076" max="3076" width="18.28515625" style="676" customWidth="1"/>
    <col min="3077" max="3077" width="12.85546875" style="676" bestFit="1" customWidth="1"/>
    <col min="3078" max="3078" width="8.5703125" style="676" customWidth="1"/>
    <col min="3079" max="3079" width="11.140625" style="676" bestFit="1" customWidth="1"/>
    <col min="3080" max="3080" width="18.28515625" style="676" customWidth="1"/>
    <col min="3081" max="3081" width="13" style="676" customWidth="1"/>
    <col min="3082" max="3082" width="12.85546875" style="676" bestFit="1" customWidth="1"/>
    <col min="3083" max="3083" width="11.7109375" style="676" customWidth="1"/>
    <col min="3084" max="3084" width="11.7109375" style="676" bestFit="1" customWidth="1"/>
    <col min="3085" max="3085" width="7.140625" style="676" customWidth="1"/>
    <col min="3086" max="3328" width="9.140625" style="676"/>
    <col min="3329" max="3329" width="3.85546875" style="676" customWidth="1"/>
    <col min="3330" max="3330" width="5.42578125" style="676" bestFit="1" customWidth="1"/>
    <col min="3331" max="3331" width="89.42578125" style="676" customWidth="1"/>
    <col min="3332" max="3332" width="18.28515625" style="676" customWidth="1"/>
    <col min="3333" max="3333" width="12.85546875" style="676" bestFit="1" customWidth="1"/>
    <col min="3334" max="3334" width="8.5703125" style="676" customWidth="1"/>
    <col min="3335" max="3335" width="11.140625" style="676" bestFit="1" customWidth="1"/>
    <col min="3336" max="3336" width="18.28515625" style="676" customWidth="1"/>
    <col min="3337" max="3337" width="13" style="676" customWidth="1"/>
    <col min="3338" max="3338" width="12.85546875" style="676" bestFit="1" customWidth="1"/>
    <col min="3339" max="3339" width="11.7109375" style="676" customWidth="1"/>
    <col min="3340" max="3340" width="11.7109375" style="676" bestFit="1" customWidth="1"/>
    <col min="3341" max="3341" width="7.140625" style="676" customWidth="1"/>
    <col min="3342" max="3584" width="9.140625" style="676"/>
    <col min="3585" max="3585" width="3.85546875" style="676" customWidth="1"/>
    <col min="3586" max="3586" width="5.42578125" style="676" bestFit="1" customWidth="1"/>
    <col min="3587" max="3587" width="89.42578125" style="676" customWidth="1"/>
    <col min="3588" max="3588" width="18.28515625" style="676" customWidth="1"/>
    <col min="3589" max="3589" width="12.85546875" style="676" bestFit="1" customWidth="1"/>
    <col min="3590" max="3590" width="8.5703125" style="676" customWidth="1"/>
    <col min="3591" max="3591" width="11.140625" style="676" bestFit="1" customWidth="1"/>
    <col min="3592" max="3592" width="18.28515625" style="676" customWidth="1"/>
    <col min="3593" max="3593" width="13" style="676" customWidth="1"/>
    <col min="3594" max="3594" width="12.85546875" style="676" bestFit="1" customWidth="1"/>
    <col min="3595" max="3595" width="11.7109375" style="676" customWidth="1"/>
    <col min="3596" max="3596" width="11.7109375" style="676" bestFit="1" customWidth="1"/>
    <col min="3597" max="3597" width="7.140625" style="676" customWidth="1"/>
    <col min="3598" max="3840" width="9.140625" style="676"/>
    <col min="3841" max="3841" width="3.85546875" style="676" customWidth="1"/>
    <col min="3842" max="3842" width="5.42578125" style="676" bestFit="1" customWidth="1"/>
    <col min="3843" max="3843" width="89.42578125" style="676" customWidth="1"/>
    <col min="3844" max="3844" width="18.28515625" style="676" customWidth="1"/>
    <col min="3845" max="3845" width="12.85546875" style="676" bestFit="1" customWidth="1"/>
    <col min="3846" max="3846" width="8.5703125" style="676" customWidth="1"/>
    <col min="3847" max="3847" width="11.140625" style="676" bestFit="1" customWidth="1"/>
    <col min="3848" max="3848" width="18.28515625" style="676" customWidth="1"/>
    <col min="3849" max="3849" width="13" style="676" customWidth="1"/>
    <col min="3850" max="3850" width="12.85546875" style="676" bestFit="1" customWidth="1"/>
    <col min="3851" max="3851" width="11.7109375" style="676" customWidth="1"/>
    <col min="3852" max="3852" width="11.7109375" style="676" bestFit="1" customWidth="1"/>
    <col min="3853" max="3853" width="7.140625" style="676" customWidth="1"/>
    <col min="3854" max="4096" width="9.140625" style="676"/>
    <col min="4097" max="4097" width="3.85546875" style="676" customWidth="1"/>
    <col min="4098" max="4098" width="5.42578125" style="676" bestFit="1" customWidth="1"/>
    <col min="4099" max="4099" width="89.42578125" style="676" customWidth="1"/>
    <col min="4100" max="4100" width="18.28515625" style="676" customWidth="1"/>
    <col min="4101" max="4101" width="12.85546875" style="676" bestFit="1" customWidth="1"/>
    <col min="4102" max="4102" width="8.5703125" style="676" customWidth="1"/>
    <col min="4103" max="4103" width="11.140625" style="676" bestFit="1" customWidth="1"/>
    <col min="4104" max="4104" width="18.28515625" style="676" customWidth="1"/>
    <col min="4105" max="4105" width="13" style="676" customWidth="1"/>
    <col min="4106" max="4106" width="12.85546875" style="676" bestFit="1" customWidth="1"/>
    <col min="4107" max="4107" width="11.7109375" style="676" customWidth="1"/>
    <col min="4108" max="4108" width="11.7109375" style="676" bestFit="1" customWidth="1"/>
    <col min="4109" max="4109" width="7.140625" style="676" customWidth="1"/>
    <col min="4110" max="4352" width="9.140625" style="676"/>
    <col min="4353" max="4353" width="3.85546875" style="676" customWidth="1"/>
    <col min="4354" max="4354" width="5.42578125" style="676" bestFit="1" customWidth="1"/>
    <col min="4355" max="4355" width="89.42578125" style="676" customWidth="1"/>
    <col min="4356" max="4356" width="18.28515625" style="676" customWidth="1"/>
    <col min="4357" max="4357" width="12.85546875" style="676" bestFit="1" customWidth="1"/>
    <col min="4358" max="4358" width="8.5703125" style="676" customWidth="1"/>
    <col min="4359" max="4359" width="11.140625" style="676" bestFit="1" customWidth="1"/>
    <col min="4360" max="4360" width="18.28515625" style="676" customWidth="1"/>
    <col min="4361" max="4361" width="13" style="676" customWidth="1"/>
    <col min="4362" max="4362" width="12.85546875" style="676" bestFit="1" customWidth="1"/>
    <col min="4363" max="4363" width="11.7109375" style="676" customWidth="1"/>
    <col min="4364" max="4364" width="11.7109375" style="676" bestFit="1" customWidth="1"/>
    <col min="4365" max="4365" width="7.140625" style="676" customWidth="1"/>
    <col min="4366" max="4608" width="9.140625" style="676"/>
    <col min="4609" max="4609" width="3.85546875" style="676" customWidth="1"/>
    <col min="4610" max="4610" width="5.42578125" style="676" bestFit="1" customWidth="1"/>
    <col min="4611" max="4611" width="89.42578125" style="676" customWidth="1"/>
    <col min="4612" max="4612" width="18.28515625" style="676" customWidth="1"/>
    <col min="4613" max="4613" width="12.85546875" style="676" bestFit="1" customWidth="1"/>
    <col min="4614" max="4614" width="8.5703125" style="676" customWidth="1"/>
    <col min="4615" max="4615" width="11.140625" style="676" bestFit="1" customWidth="1"/>
    <col min="4616" max="4616" width="18.28515625" style="676" customWidth="1"/>
    <col min="4617" max="4617" width="13" style="676" customWidth="1"/>
    <col min="4618" max="4618" width="12.85546875" style="676" bestFit="1" customWidth="1"/>
    <col min="4619" max="4619" width="11.7109375" style="676" customWidth="1"/>
    <col min="4620" max="4620" width="11.7109375" style="676" bestFit="1" customWidth="1"/>
    <col min="4621" max="4621" width="7.140625" style="676" customWidth="1"/>
    <col min="4622" max="4864" width="9.140625" style="676"/>
    <col min="4865" max="4865" width="3.85546875" style="676" customWidth="1"/>
    <col min="4866" max="4866" width="5.42578125" style="676" bestFit="1" customWidth="1"/>
    <col min="4867" max="4867" width="89.42578125" style="676" customWidth="1"/>
    <col min="4868" max="4868" width="18.28515625" style="676" customWidth="1"/>
    <col min="4869" max="4869" width="12.85546875" style="676" bestFit="1" customWidth="1"/>
    <col min="4870" max="4870" width="8.5703125" style="676" customWidth="1"/>
    <col min="4871" max="4871" width="11.140625" style="676" bestFit="1" customWidth="1"/>
    <col min="4872" max="4872" width="18.28515625" style="676" customWidth="1"/>
    <col min="4873" max="4873" width="13" style="676" customWidth="1"/>
    <col min="4874" max="4874" width="12.85546875" style="676" bestFit="1" customWidth="1"/>
    <col min="4875" max="4875" width="11.7109375" style="676" customWidth="1"/>
    <col min="4876" max="4876" width="11.7109375" style="676" bestFit="1" customWidth="1"/>
    <col min="4877" max="4877" width="7.140625" style="676" customWidth="1"/>
    <col min="4878" max="5120" width="9.140625" style="676"/>
    <col min="5121" max="5121" width="3.85546875" style="676" customWidth="1"/>
    <col min="5122" max="5122" width="5.42578125" style="676" bestFit="1" customWidth="1"/>
    <col min="5123" max="5123" width="89.42578125" style="676" customWidth="1"/>
    <col min="5124" max="5124" width="18.28515625" style="676" customWidth="1"/>
    <col min="5125" max="5125" width="12.85546875" style="676" bestFit="1" customWidth="1"/>
    <col min="5126" max="5126" width="8.5703125" style="676" customWidth="1"/>
    <col min="5127" max="5127" width="11.140625" style="676" bestFit="1" customWidth="1"/>
    <col min="5128" max="5128" width="18.28515625" style="676" customWidth="1"/>
    <col min="5129" max="5129" width="13" style="676" customWidth="1"/>
    <col min="5130" max="5130" width="12.85546875" style="676" bestFit="1" customWidth="1"/>
    <col min="5131" max="5131" width="11.7109375" style="676" customWidth="1"/>
    <col min="5132" max="5132" width="11.7109375" style="676" bestFit="1" customWidth="1"/>
    <col min="5133" max="5133" width="7.140625" style="676" customWidth="1"/>
    <col min="5134" max="5376" width="9.140625" style="676"/>
    <col min="5377" max="5377" width="3.85546875" style="676" customWidth="1"/>
    <col min="5378" max="5378" width="5.42578125" style="676" bestFit="1" customWidth="1"/>
    <col min="5379" max="5379" width="89.42578125" style="676" customWidth="1"/>
    <col min="5380" max="5380" width="18.28515625" style="676" customWidth="1"/>
    <col min="5381" max="5381" width="12.85546875" style="676" bestFit="1" customWidth="1"/>
    <col min="5382" max="5382" width="8.5703125" style="676" customWidth="1"/>
    <col min="5383" max="5383" width="11.140625" style="676" bestFit="1" customWidth="1"/>
    <col min="5384" max="5384" width="18.28515625" style="676" customWidth="1"/>
    <col min="5385" max="5385" width="13" style="676" customWidth="1"/>
    <col min="5386" max="5386" width="12.85546875" style="676" bestFit="1" customWidth="1"/>
    <col min="5387" max="5387" width="11.7109375" style="676" customWidth="1"/>
    <col min="5388" max="5388" width="11.7109375" style="676" bestFit="1" customWidth="1"/>
    <col min="5389" max="5389" width="7.140625" style="676" customWidth="1"/>
    <col min="5390" max="5632" width="9.140625" style="676"/>
    <col min="5633" max="5633" width="3.85546875" style="676" customWidth="1"/>
    <col min="5634" max="5634" width="5.42578125" style="676" bestFit="1" customWidth="1"/>
    <col min="5635" max="5635" width="89.42578125" style="676" customWidth="1"/>
    <col min="5636" max="5636" width="18.28515625" style="676" customWidth="1"/>
    <col min="5637" max="5637" width="12.85546875" style="676" bestFit="1" customWidth="1"/>
    <col min="5638" max="5638" width="8.5703125" style="676" customWidth="1"/>
    <col min="5639" max="5639" width="11.140625" style="676" bestFit="1" customWidth="1"/>
    <col min="5640" max="5640" width="18.28515625" style="676" customWidth="1"/>
    <col min="5641" max="5641" width="13" style="676" customWidth="1"/>
    <col min="5642" max="5642" width="12.85546875" style="676" bestFit="1" customWidth="1"/>
    <col min="5643" max="5643" width="11.7109375" style="676" customWidth="1"/>
    <col min="5644" max="5644" width="11.7109375" style="676" bestFit="1" customWidth="1"/>
    <col min="5645" max="5645" width="7.140625" style="676" customWidth="1"/>
    <col min="5646" max="5888" width="9.140625" style="676"/>
    <col min="5889" max="5889" width="3.85546875" style="676" customWidth="1"/>
    <col min="5890" max="5890" width="5.42578125" style="676" bestFit="1" customWidth="1"/>
    <col min="5891" max="5891" width="89.42578125" style="676" customWidth="1"/>
    <col min="5892" max="5892" width="18.28515625" style="676" customWidth="1"/>
    <col min="5893" max="5893" width="12.85546875" style="676" bestFit="1" customWidth="1"/>
    <col min="5894" max="5894" width="8.5703125" style="676" customWidth="1"/>
    <col min="5895" max="5895" width="11.140625" style="676" bestFit="1" customWidth="1"/>
    <col min="5896" max="5896" width="18.28515625" style="676" customWidth="1"/>
    <col min="5897" max="5897" width="13" style="676" customWidth="1"/>
    <col min="5898" max="5898" width="12.85546875" style="676" bestFit="1" customWidth="1"/>
    <col min="5899" max="5899" width="11.7109375" style="676" customWidth="1"/>
    <col min="5900" max="5900" width="11.7109375" style="676" bestFit="1" customWidth="1"/>
    <col min="5901" max="5901" width="7.140625" style="676" customWidth="1"/>
    <col min="5902" max="6144" width="9.140625" style="676"/>
    <col min="6145" max="6145" width="3.85546875" style="676" customWidth="1"/>
    <col min="6146" max="6146" width="5.42578125" style="676" bestFit="1" customWidth="1"/>
    <col min="6147" max="6147" width="89.42578125" style="676" customWidth="1"/>
    <col min="6148" max="6148" width="18.28515625" style="676" customWidth="1"/>
    <col min="6149" max="6149" width="12.85546875" style="676" bestFit="1" customWidth="1"/>
    <col min="6150" max="6150" width="8.5703125" style="676" customWidth="1"/>
    <col min="6151" max="6151" width="11.140625" style="676" bestFit="1" customWidth="1"/>
    <col min="6152" max="6152" width="18.28515625" style="676" customWidth="1"/>
    <col min="6153" max="6153" width="13" style="676" customWidth="1"/>
    <col min="6154" max="6154" width="12.85546875" style="676" bestFit="1" customWidth="1"/>
    <col min="6155" max="6155" width="11.7109375" style="676" customWidth="1"/>
    <col min="6156" max="6156" width="11.7109375" style="676" bestFit="1" customWidth="1"/>
    <col min="6157" max="6157" width="7.140625" style="676" customWidth="1"/>
    <col min="6158" max="6400" width="9.140625" style="676"/>
    <col min="6401" max="6401" width="3.85546875" style="676" customWidth="1"/>
    <col min="6402" max="6402" width="5.42578125" style="676" bestFit="1" customWidth="1"/>
    <col min="6403" max="6403" width="89.42578125" style="676" customWidth="1"/>
    <col min="6404" max="6404" width="18.28515625" style="676" customWidth="1"/>
    <col min="6405" max="6405" width="12.85546875" style="676" bestFit="1" customWidth="1"/>
    <col min="6406" max="6406" width="8.5703125" style="676" customWidth="1"/>
    <col min="6407" max="6407" width="11.140625" style="676" bestFit="1" customWidth="1"/>
    <col min="6408" max="6408" width="18.28515625" style="676" customWidth="1"/>
    <col min="6409" max="6409" width="13" style="676" customWidth="1"/>
    <col min="6410" max="6410" width="12.85546875" style="676" bestFit="1" customWidth="1"/>
    <col min="6411" max="6411" width="11.7109375" style="676" customWidth="1"/>
    <col min="6412" max="6412" width="11.7109375" style="676" bestFit="1" customWidth="1"/>
    <col min="6413" max="6413" width="7.140625" style="676" customWidth="1"/>
    <col min="6414" max="6656" width="9.140625" style="676"/>
    <col min="6657" max="6657" width="3.85546875" style="676" customWidth="1"/>
    <col min="6658" max="6658" width="5.42578125" style="676" bestFit="1" customWidth="1"/>
    <col min="6659" max="6659" width="89.42578125" style="676" customWidth="1"/>
    <col min="6660" max="6660" width="18.28515625" style="676" customWidth="1"/>
    <col min="6661" max="6661" width="12.85546875" style="676" bestFit="1" customWidth="1"/>
    <col min="6662" max="6662" width="8.5703125" style="676" customWidth="1"/>
    <col min="6663" max="6663" width="11.140625" style="676" bestFit="1" customWidth="1"/>
    <col min="6664" max="6664" width="18.28515625" style="676" customWidth="1"/>
    <col min="6665" max="6665" width="13" style="676" customWidth="1"/>
    <col min="6666" max="6666" width="12.85546875" style="676" bestFit="1" customWidth="1"/>
    <col min="6667" max="6667" width="11.7109375" style="676" customWidth="1"/>
    <col min="6668" max="6668" width="11.7109375" style="676" bestFit="1" customWidth="1"/>
    <col min="6669" max="6669" width="7.140625" style="676" customWidth="1"/>
    <col min="6670" max="6912" width="9.140625" style="676"/>
    <col min="6913" max="6913" width="3.85546875" style="676" customWidth="1"/>
    <col min="6914" max="6914" width="5.42578125" style="676" bestFit="1" customWidth="1"/>
    <col min="6915" max="6915" width="89.42578125" style="676" customWidth="1"/>
    <col min="6916" max="6916" width="18.28515625" style="676" customWidth="1"/>
    <col min="6917" max="6917" width="12.85546875" style="676" bestFit="1" customWidth="1"/>
    <col min="6918" max="6918" width="8.5703125" style="676" customWidth="1"/>
    <col min="6919" max="6919" width="11.140625" style="676" bestFit="1" customWidth="1"/>
    <col min="6920" max="6920" width="18.28515625" style="676" customWidth="1"/>
    <col min="6921" max="6921" width="13" style="676" customWidth="1"/>
    <col min="6922" max="6922" width="12.85546875" style="676" bestFit="1" customWidth="1"/>
    <col min="6923" max="6923" width="11.7109375" style="676" customWidth="1"/>
    <col min="6924" max="6924" width="11.7109375" style="676" bestFit="1" customWidth="1"/>
    <col min="6925" max="6925" width="7.140625" style="676" customWidth="1"/>
    <col min="6926" max="7168" width="9.140625" style="676"/>
    <col min="7169" max="7169" width="3.85546875" style="676" customWidth="1"/>
    <col min="7170" max="7170" width="5.42578125" style="676" bestFit="1" customWidth="1"/>
    <col min="7171" max="7171" width="89.42578125" style="676" customWidth="1"/>
    <col min="7172" max="7172" width="18.28515625" style="676" customWidth="1"/>
    <col min="7173" max="7173" width="12.85546875" style="676" bestFit="1" customWidth="1"/>
    <col min="7174" max="7174" width="8.5703125" style="676" customWidth="1"/>
    <col min="7175" max="7175" width="11.140625" style="676" bestFit="1" customWidth="1"/>
    <col min="7176" max="7176" width="18.28515625" style="676" customWidth="1"/>
    <col min="7177" max="7177" width="13" style="676" customWidth="1"/>
    <col min="7178" max="7178" width="12.85546875" style="676" bestFit="1" customWidth="1"/>
    <col min="7179" max="7179" width="11.7109375" style="676" customWidth="1"/>
    <col min="7180" max="7180" width="11.7109375" style="676" bestFit="1" customWidth="1"/>
    <col min="7181" max="7181" width="7.140625" style="676" customWidth="1"/>
    <col min="7182" max="7424" width="9.140625" style="676"/>
    <col min="7425" max="7425" width="3.85546875" style="676" customWidth="1"/>
    <col min="7426" max="7426" width="5.42578125" style="676" bestFit="1" customWidth="1"/>
    <col min="7427" max="7427" width="89.42578125" style="676" customWidth="1"/>
    <col min="7428" max="7428" width="18.28515625" style="676" customWidth="1"/>
    <col min="7429" max="7429" width="12.85546875" style="676" bestFit="1" customWidth="1"/>
    <col min="7430" max="7430" width="8.5703125" style="676" customWidth="1"/>
    <col min="7431" max="7431" width="11.140625" style="676" bestFit="1" customWidth="1"/>
    <col min="7432" max="7432" width="18.28515625" style="676" customWidth="1"/>
    <col min="7433" max="7433" width="13" style="676" customWidth="1"/>
    <col min="7434" max="7434" width="12.85546875" style="676" bestFit="1" customWidth="1"/>
    <col min="7435" max="7435" width="11.7109375" style="676" customWidth="1"/>
    <col min="7436" max="7436" width="11.7109375" style="676" bestFit="1" customWidth="1"/>
    <col min="7437" max="7437" width="7.140625" style="676" customWidth="1"/>
    <col min="7438" max="7680" width="9.140625" style="676"/>
    <col min="7681" max="7681" width="3.85546875" style="676" customWidth="1"/>
    <col min="7682" max="7682" width="5.42578125" style="676" bestFit="1" customWidth="1"/>
    <col min="7683" max="7683" width="89.42578125" style="676" customWidth="1"/>
    <col min="7684" max="7684" width="18.28515625" style="676" customWidth="1"/>
    <col min="7685" max="7685" width="12.85546875" style="676" bestFit="1" customWidth="1"/>
    <col min="7686" max="7686" width="8.5703125" style="676" customWidth="1"/>
    <col min="7687" max="7687" width="11.140625" style="676" bestFit="1" customWidth="1"/>
    <col min="7688" max="7688" width="18.28515625" style="676" customWidth="1"/>
    <col min="7689" max="7689" width="13" style="676" customWidth="1"/>
    <col min="7690" max="7690" width="12.85546875" style="676" bestFit="1" customWidth="1"/>
    <col min="7691" max="7691" width="11.7109375" style="676" customWidth="1"/>
    <col min="7692" max="7692" width="11.7109375" style="676" bestFit="1" customWidth="1"/>
    <col min="7693" max="7693" width="7.140625" style="676" customWidth="1"/>
    <col min="7694" max="7936" width="9.140625" style="676"/>
    <col min="7937" max="7937" width="3.85546875" style="676" customWidth="1"/>
    <col min="7938" max="7938" width="5.42578125" style="676" bestFit="1" customWidth="1"/>
    <col min="7939" max="7939" width="89.42578125" style="676" customWidth="1"/>
    <col min="7940" max="7940" width="18.28515625" style="676" customWidth="1"/>
    <col min="7941" max="7941" width="12.85546875" style="676" bestFit="1" customWidth="1"/>
    <col min="7942" max="7942" width="8.5703125" style="676" customWidth="1"/>
    <col min="7943" max="7943" width="11.140625" style="676" bestFit="1" customWidth="1"/>
    <col min="7944" max="7944" width="18.28515625" style="676" customWidth="1"/>
    <col min="7945" max="7945" width="13" style="676" customWidth="1"/>
    <col min="7946" max="7946" width="12.85546875" style="676" bestFit="1" customWidth="1"/>
    <col min="7947" max="7947" width="11.7109375" style="676" customWidth="1"/>
    <col min="7948" max="7948" width="11.7109375" style="676" bestFit="1" customWidth="1"/>
    <col min="7949" max="7949" width="7.140625" style="676" customWidth="1"/>
    <col min="7950" max="8192" width="9.140625" style="676"/>
    <col min="8193" max="8193" width="3.85546875" style="676" customWidth="1"/>
    <col min="8194" max="8194" width="5.42578125" style="676" bestFit="1" customWidth="1"/>
    <col min="8195" max="8195" width="89.42578125" style="676" customWidth="1"/>
    <col min="8196" max="8196" width="18.28515625" style="676" customWidth="1"/>
    <col min="8197" max="8197" width="12.85546875" style="676" bestFit="1" customWidth="1"/>
    <col min="8198" max="8198" width="8.5703125" style="676" customWidth="1"/>
    <col min="8199" max="8199" width="11.140625" style="676" bestFit="1" customWidth="1"/>
    <col min="8200" max="8200" width="18.28515625" style="676" customWidth="1"/>
    <col min="8201" max="8201" width="13" style="676" customWidth="1"/>
    <col min="8202" max="8202" width="12.85546875" style="676" bestFit="1" customWidth="1"/>
    <col min="8203" max="8203" width="11.7109375" style="676" customWidth="1"/>
    <col min="8204" max="8204" width="11.7109375" style="676" bestFit="1" customWidth="1"/>
    <col min="8205" max="8205" width="7.140625" style="676" customWidth="1"/>
    <col min="8206" max="8448" width="9.140625" style="676"/>
    <col min="8449" max="8449" width="3.85546875" style="676" customWidth="1"/>
    <col min="8450" max="8450" width="5.42578125" style="676" bestFit="1" customWidth="1"/>
    <col min="8451" max="8451" width="89.42578125" style="676" customWidth="1"/>
    <col min="8452" max="8452" width="18.28515625" style="676" customWidth="1"/>
    <col min="8453" max="8453" width="12.85546875" style="676" bestFit="1" customWidth="1"/>
    <col min="8454" max="8454" width="8.5703125" style="676" customWidth="1"/>
    <col min="8455" max="8455" width="11.140625" style="676" bestFit="1" customWidth="1"/>
    <col min="8456" max="8456" width="18.28515625" style="676" customWidth="1"/>
    <col min="8457" max="8457" width="13" style="676" customWidth="1"/>
    <col min="8458" max="8458" width="12.85546875" style="676" bestFit="1" customWidth="1"/>
    <col min="8459" max="8459" width="11.7109375" style="676" customWidth="1"/>
    <col min="8460" max="8460" width="11.7109375" style="676" bestFit="1" customWidth="1"/>
    <col min="8461" max="8461" width="7.140625" style="676" customWidth="1"/>
    <col min="8462" max="8704" width="9.140625" style="676"/>
    <col min="8705" max="8705" width="3.85546875" style="676" customWidth="1"/>
    <col min="8706" max="8706" width="5.42578125" style="676" bestFit="1" customWidth="1"/>
    <col min="8707" max="8707" width="89.42578125" style="676" customWidth="1"/>
    <col min="8708" max="8708" width="18.28515625" style="676" customWidth="1"/>
    <col min="8709" max="8709" width="12.85546875" style="676" bestFit="1" customWidth="1"/>
    <col min="8710" max="8710" width="8.5703125" style="676" customWidth="1"/>
    <col min="8711" max="8711" width="11.140625" style="676" bestFit="1" customWidth="1"/>
    <col min="8712" max="8712" width="18.28515625" style="676" customWidth="1"/>
    <col min="8713" max="8713" width="13" style="676" customWidth="1"/>
    <col min="8714" max="8714" width="12.85546875" style="676" bestFit="1" customWidth="1"/>
    <col min="8715" max="8715" width="11.7109375" style="676" customWidth="1"/>
    <col min="8716" max="8716" width="11.7109375" style="676" bestFit="1" customWidth="1"/>
    <col min="8717" max="8717" width="7.140625" style="676" customWidth="1"/>
    <col min="8718" max="8960" width="9.140625" style="676"/>
    <col min="8961" max="8961" width="3.85546875" style="676" customWidth="1"/>
    <col min="8962" max="8962" width="5.42578125" style="676" bestFit="1" customWidth="1"/>
    <col min="8963" max="8963" width="89.42578125" style="676" customWidth="1"/>
    <col min="8964" max="8964" width="18.28515625" style="676" customWidth="1"/>
    <col min="8965" max="8965" width="12.85546875" style="676" bestFit="1" customWidth="1"/>
    <col min="8966" max="8966" width="8.5703125" style="676" customWidth="1"/>
    <col min="8967" max="8967" width="11.140625" style="676" bestFit="1" customWidth="1"/>
    <col min="8968" max="8968" width="18.28515625" style="676" customWidth="1"/>
    <col min="8969" max="8969" width="13" style="676" customWidth="1"/>
    <col min="8970" max="8970" width="12.85546875" style="676" bestFit="1" customWidth="1"/>
    <col min="8971" max="8971" width="11.7109375" style="676" customWidth="1"/>
    <col min="8972" max="8972" width="11.7109375" style="676" bestFit="1" customWidth="1"/>
    <col min="8973" max="8973" width="7.140625" style="676" customWidth="1"/>
    <col min="8974" max="9216" width="9.140625" style="676"/>
    <col min="9217" max="9217" width="3.85546875" style="676" customWidth="1"/>
    <col min="9218" max="9218" width="5.42578125" style="676" bestFit="1" customWidth="1"/>
    <col min="9219" max="9219" width="89.42578125" style="676" customWidth="1"/>
    <col min="9220" max="9220" width="18.28515625" style="676" customWidth="1"/>
    <col min="9221" max="9221" width="12.85546875" style="676" bestFit="1" customWidth="1"/>
    <col min="9222" max="9222" width="8.5703125" style="676" customWidth="1"/>
    <col min="9223" max="9223" width="11.140625" style="676" bestFit="1" customWidth="1"/>
    <col min="9224" max="9224" width="18.28515625" style="676" customWidth="1"/>
    <col min="9225" max="9225" width="13" style="676" customWidth="1"/>
    <col min="9226" max="9226" width="12.85546875" style="676" bestFit="1" customWidth="1"/>
    <col min="9227" max="9227" width="11.7109375" style="676" customWidth="1"/>
    <col min="9228" max="9228" width="11.7109375" style="676" bestFit="1" customWidth="1"/>
    <col min="9229" max="9229" width="7.140625" style="676" customWidth="1"/>
    <col min="9230" max="9472" width="9.140625" style="676"/>
    <col min="9473" max="9473" width="3.85546875" style="676" customWidth="1"/>
    <col min="9474" max="9474" width="5.42578125" style="676" bestFit="1" customWidth="1"/>
    <col min="9475" max="9475" width="89.42578125" style="676" customWidth="1"/>
    <col min="9476" max="9476" width="18.28515625" style="676" customWidth="1"/>
    <col min="9477" max="9477" width="12.85546875" style="676" bestFit="1" customWidth="1"/>
    <col min="9478" max="9478" width="8.5703125" style="676" customWidth="1"/>
    <col min="9479" max="9479" width="11.140625" style="676" bestFit="1" customWidth="1"/>
    <col min="9480" max="9480" width="18.28515625" style="676" customWidth="1"/>
    <col min="9481" max="9481" width="13" style="676" customWidth="1"/>
    <col min="9482" max="9482" width="12.85546875" style="676" bestFit="1" customWidth="1"/>
    <col min="9483" max="9483" width="11.7109375" style="676" customWidth="1"/>
    <col min="9484" max="9484" width="11.7109375" style="676" bestFit="1" customWidth="1"/>
    <col min="9485" max="9485" width="7.140625" style="676" customWidth="1"/>
    <col min="9486" max="9728" width="9.140625" style="676"/>
    <col min="9729" max="9729" width="3.85546875" style="676" customWidth="1"/>
    <col min="9730" max="9730" width="5.42578125" style="676" bestFit="1" customWidth="1"/>
    <col min="9731" max="9731" width="89.42578125" style="676" customWidth="1"/>
    <col min="9732" max="9732" width="18.28515625" style="676" customWidth="1"/>
    <col min="9733" max="9733" width="12.85546875" style="676" bestFit="1" customWidth="1"/>
    <col min="9734" max="9734" width="8.5703125" style="676" customWidth="1"/>
    <col min="9735" max="9735" width="11.140625" style="676" bestFit="1" customWidth="1"/>
    <col min="9736" max="9736" width="18.28515625" style="676" customWidth="1"/>
    <col min="9737" max="9737" width="13" style="676" customWidth="1"/>
    <col min="9738" max="9738" width="12.85546875" style="676" bestFit="1" customWidth="1"/>
    <col min="9739" max="9739" width="11.7109375" style="676" customWidth="1"/>
    <col min="9740" max="9740" width="11.7109375" style="676" bestFit="1" customWidth="1"/>
    <col min="9741" max="9741" width="7.140625" style="676" customWidth="1"/>
    <col min="9742" max="9984" width="9.140625" style="676"/>
    <col min="9985" max="9985" width="3.85546875" style="676" customWidth="1"/>
    <col min="9986" max="9986" width="5.42578125" style="676" bestFit="1" customWidth="1"/>
    <col min="9987" max="9987" width="89.42578125" style="676" customWidth="1"/>
    <col min="9988" max="9988" width="18.28515625" style="676" customWidth="1"/>
    <col min="9989" max="9989" width="12.85546875" style="676" bestFit="1" customWidth="1"/>
    <col min="9990" max="9990" width="8.5703125" style="676" customWidth="1"/>
    <col min="9991" max="9991" width="11.140625" style="676" bestFit="1" customWidth="1"/>
    <col min="9992" max="9992" width="18.28515625" style="676" customWidth="1"/>
    <col min="9993" max="9993" width="13" style="676" customWidth="1"/>
    <col min="9994" max="9994" width="12.85546875" style="676" bestFit="1" customWidth="1"/>
    <col min="9995" max="9995" width="11.7109375" style="676" customWidth="1"/>
    <col min="9996" max="9996" width="11.7109375" style="676" bestFit="1" customWidth="1"/>
    <col min="9997" max="9997" width="7.140625" style="676" customWidth="1"/>
    <col min="9998" max="10240" width="9.140625" style="676"/>
    <col min="10241" max="10241" width="3.85546875" style="676" customWidth="1"/>
    <col min="10242" max="10242" width="5.42578125" style="676" bestFit="1" customWidth="1"/>
    <col min="10243" max="10243" width="89.42578125" style="676" customWidth="1"/>
    <col min="10244" max="10244" width="18.28515625" style="676" customWidth="1"/>
    <col min="10245" max="10245" width="12.85546875" style="676" bestFit="1" customWidth="1"/>
    <col min="10246" max="10246" width="8.5703125" style="676" customWidth="1"/>
    <col min="10247" max="10247" width="11.140625" style="676" bestFit="1" customWidth="1"/>
    <col min="10248" max="10248" width="18.28515625" style="676" customWidth="1"/>
    <col min="10249" max="10249" width="13" style="676" customWidth="1"/>
    <col min="10250" max="10250" width="12.85546875" style="676" bestFit="1" customWidth="1"/>
    <col min="10251" max="10251" width="11.7109375" style="676" customWidth="1"/>
    <col min="10252" max="10252" width="11.7109375" style="676" bestFit="1" customWidth="1"/>
    <col min="10253" max="10253" width="7.140625" style="676" customWidth="1"/>
    <col min="10254" max="10496" width="9.140625" style="676"/>
    <col min="10497" max="10497" width="3.85546875" style="676" customWidth="1"/>
    <col min="10498" max="10498" width="5.42578125" style="676" bestFit="1" customWidth="1"/>
    <col min="10499" max="10499" width="89.42578125" style="676" customWidth="1"/>
    <col min="10500" max="10500" width="18.28515625" style="676" customWidth="1"/>
    <col min="10501" max="10501" width="12.85546875" style="676" bestFit="1" customWidth="1"/>
    <col min="10502" max="10502" width="8.5703125" style="676" customWidth="1"/>
    <col min="10503" max="10503" width="11.140625" style="676" bestFit="1" customWidth="1"/>
    <col min="10504" max="10504" width="18.28515625" style="676" customWidth="1"/>
    <col min="10505" max="10505" width="13" style="676" customWidth="1"/>
    <col min="10506" max="10506" width="12.85546875" style="676" bestFit="1" customWidth="1"/>
    <col min="10507" max="10507" width="11.7109375" style="676" customWidth="1"/>
    <col min="10508" max="10508" width="11.7109375" style="676" bestFit="1" customWidth="1"/>
    <col min="10509" max="10509" width="7.140625" style="676" customWidth="1"/>
    <col min="10510" max="10752" width="9.140625" style="676"/>
    <col min="10753" max="10753" width="3.85546875" style="676" customWidth="1"/>
    <col min="10754" max="10754" width="5.42578125" style="676" bestFit="1" customWidth="1"/>
    <col min="10755" max="10755" width="89.42578125" style="676" customWidth="1"/>
    <col min="10756" max="10756" width="18.28515625" style="676" customWidth="1"/>
    <col min="10757" max="10757" width="12.85546875" style="676" bestFit="1" customWidth="1"/>
    <col min="10758" max="10758" width="8.5703125" style="676" customWidth="1"/>
    <col min="10759" max="10759" width="11.140625" style="676" bestFit="1" customWidth="1"/>
    <col min="10760" max="10760" width="18.28515625" style="676" customWidth="1"/>
    <col min="10761" max="10761" width="13" style="676" customWidth="1"/>
    <col min="10762" max="10762" width="12.85546875" style="676" bestFit="1" customWidth="1"/>
    <col min="10763" max="10763" width="11.7109375" style="676" customWidth="1"/>
    <col min="10764" max="10764" width="11.7109375" style="676" bestFit="1" customWidth="1"/>
    <col min="10765" max="10765" width="7.140625" style="676" customWidth="1"/>
    <col min="10766" max="11008" width="9.140625" style="676"/>
    <col min="11009" max="11009" width="3.85546875" style="676" customWidth="1"/>
    <col min="11010" max="11010" width="5.42578125" style="676" bestFit="1" customWidth="1"/>
    <col min="11011" max="11011" width="89.42578125" style="676" customWidth="1"/>
    <col min="11012" max="11012" width="18.28515625" style="676" customWidth="1"/>
    <col min="11013" max="11013" width="12.85546875" style="676" bestFit="1" customWidth="1"/>
    <col min="11014" max="11014" width="8.5703125" style="676" customWidth="1"/>
    <col min="11015" max="11015" width="11.140625" style="676" bestFit="1" customWidth="1"/>
    <col min="11016" max="11016" width="18.28515625" style="676" customWidth="1"/>
    <col min="11017" max="11017" width="13" style="676" customWidth="1"/>
    <col min="11018" max="11018" width="12.85546875" style="676" bestFit="1" customWidth="1"/>
    <col min="11019" max="11019" width="11.7109375" style="676" customWidth="1"/>
    <col min="11020" max="11020" width="11.7109375" style="676" bestFit="1" customWidth="1"/>
    <col min="11021" max="11021" width="7.140625" style="676" customWidth="1"/>
    <col min="11022" max="11264" width="9.140625" style="676"/>
    <col min="11265" max="11265" width="3.85546875" style="676" customWidth="1"/>
    <col min="11266" max="11266" width="5.42578125" style="676" bestFit="1" customWidth="1"/>
    <col min="11267" max="11267" width="89.42578125" style="676" customWidth="1"/>
    <col min="11268" max="11268" width="18.28515625" style="676" customWidth="1"/>
    <col min="11269" max="11269" width="12.85546875" style="676" bestFit="1" customWidth="1"/>
    <col min="11270" max="11270" width="8.5703125" style="676" customWidth="1"/>
    <col min="11271" max="11271" width="11.140625" style="676" bestFit="1" customWidth="1"/>
    <col min="11272" max="11272" width="18.28515625" style="676" customWidth="1"/>
    <col min="11273" max="11273" width="13" style="676" customWidth="1"/>
    <col min="11274" max="11274" width="12.85546875" style="676" bestFit="1" customWidth="1"/>
    <col min="11275" max="11275" width="11.7109375" style="676" customWidth="1"/>
    <col min="11276" max="11276" width="11.7109375" style="676" bestFit="1" customWidth="1"/>
    <col min="11277" max="11277" width="7.140625" style="676" customWidth="1"/>
    <col min="11278" max="11520" width="9.140625" style="676"/>
    <col min="11521" max="11521" width="3.85546875" style="676" customWidth="1"/>
    <col min="11522" max="11522" width="5.42578125" style="676" bestFit="1" customWidth="1"/>
    <col min="11523" max="11523" width="89.42578125" style="676" customWidth="1"/>
    <col min="11524" max="11524" width="18.28515625" style="676" customWidth="1"/>
    <col min="11525" max="11525" width="12.85546875" style="676" bestFit="1" customWidth="1"/>
    <col min="11526" max="11526" width="8.5703125" style="676" customWidth="1"/>
    <col min="11527" max="11527" width="11.140625" style="676" bestFit="1" customWidth="1"/>
    <col min="11528" max="11528" width="18.28515625" style="676" customWidth="1"/>
    <col min="11529" max="11529" width="13" style="676" customWidth="1"/>
    <col min="11530" max="11530" width="12.85546875" style="676" bestFit="1" customWidth="1"/>
    <col min="11531" max="11531" width="11.7109375" style="676" customWidth="1"/>
    <col min="11532" max="11532" width="11.7109375" style="676" bestFit="1" customWidth="1"/>
    <col min="11533" max="11533" width="7.140625" style="676" customWidth="1"/>
    <col min="11534" max="11776" width="9.140625" style="676"/>
    <col min="11777" max="11777" width="3.85546875" style="676" customWidth="1"/>
    <col min="11778" max="11778" width="5.42578125" style="676" bestFit="1" customWidth="1"/>
    <col min="11779" max="11779" width="89.42578125" style="676" customWidth="1"/>
    <col min="11780" max="11780" width="18.28515625" style="676" customWidth="1"/>
    <col min="11781" max="11781" width="12.85546875" style="676" bestFit="1" customWidth="1"/>
    <col min="11782" max="11782" width="8.5703125" style="676" customWidth="1"/>
    <col min="11783" max="11783" width="11.140625" style="676" bestFit="1" customWidth="1"/>
    <col min="11784" max="11784" width="18.28515625" style="676" customWidth="1"/>
    <col min="11785" max="11785" width="13" style="676" customWidth="1"/>
    <col min="11786" max="11786" width="12.85546875" style="676" bestFit="1" customWidth="1"/>
    <col min="11787" max="11787" width="11.7109375" style="676" customWidth="1"/>
    <col min="11788" max="11788" width="11.7109375" style="676" bestFit="1" customWidth="1"/>
    <col min="11789" max="11789" width="7.140625" style="676" customWidth="1"/>
    <col min="11790" max="12032" width="9.140625" style="676"/>
    <col min="12033" max="12033" width="3.85546875" style="676" customWidth="1"/>
    <col min="12034" max="12034" width="5.42578125" style="676" bestFit="1" customWidth="1"/>
    <col min="12035" max="12035" width="89.42578125" style="676" customWidth="1"/>
    <col min="12036" max="12036" width="18.28515625" style="676" customWidth="1"/>
    <col min="12037" max="12037" width="12.85546875" style="676" bestFit="1" customWidth="1"/>
    <col min="12038" max="12038" width="8.5703125" style="676" customWidth="1"/>
    <col min="12039" max="12039" width="11.140625" style="676" bestFit="1" customWidth="1"/>
    <col min="12040" max="12040" width="18.28515625" style="676" customWidth="1"/>
    <col min="12041" max="12041" width="13" style="676" customWidth="1"/>
    <col min="12042" max="12042" width="12.85546875" style="676" bestFit="1" customWidth="1"/>
    <col min="12043" max="12043" width="11.7109375" style="676" customWidth="1"/>
    <col min="12044" max="12044" width="11.7109375" style="676" bestFit="1" customWidth="1"/>
    <col min="12045" max="12045" width="7.140625" style="676" customWidth="1"/>
    <col min="12046" max="12288" width="9.140625" style="676"/>
    <col min="12289" max="12289" width="3.85546875" style="676" customWidth="1"/>
    <col min="12290" max="12290" width="5.42578125" style="676" bestFit="1" customWidth="1"/>
    <col min="12291" max="12291" width="89.42578125" style="676" customWidth="1"/>
    <col min="12292" max="12292" width="18.28515625" style="676" customWidth="1"/>
    <col min="12293" max="12293" width="12.85546875" style="676" bestFit="1" customWidth="1"/>
    <col min="12294" max="12294" width="8.5703125" style="676" customWidth="1"/>
    <col min="12295" max="12295" width="11.140625" style="676" bestFit="1" customWidth="1"/>
    <col min="12296" max="12296" width="18.28515625" style="676" customWidth="1"/>
    <col min="12297" max="12297" width="13" style="676" customWidth="1"/>
    <col min="12298" max="12298" width="12.85546875" style="676" bestFit="1" customWidth="1"/>
    <col min="12299" max="12299" width="11.7109375" style="676" customWidth="1"/>
    <col min="12300" max="12300" width="11.7109375" style="676" bestFit="1" customWidth="1"/>
    <col min="12301" max="12301" width="7.140625" style="676" customWidth="1"/>
    <col min="12302" max="12544" width="9.140625" style="676"/>
    <col min="12545" max="12545" width="3.85546875" style="676" customWidth="1"/>
    <col min="12546" max="12546" width="5.42578125" style="676" bestFit="1" customWidth="1"/>
    <col min="12547" max="12547" width="89.42578125" style="676" customWidth="1"/>
    <col min="12548" max="12548" width="18.28515625" style="676" customWidth="1"/>
    <col min="12549" max="12549" width="12.85546875" style="676" bestFit="1" customWidth="1"/>
    <col min="12550" max="12550" width="8.5703125" style="676" customWidth="1"/>
    <col min="12551" max="12551" width="11.140625" style="676" bestFit="1" customWidth="1"/>
    <col min="12552" max="12552" width="18.28515625" style="676" customWidth="1"/>
    <col min="12553" max="12553" width="13" style="676" customWidth="1"/>
    <col min="12554" max="12554" width="12.85546875" style="676" bestFit="1" customWidth="1"/>
    <col min="12555" max="12555" width="11.7109375" style="676" customWidth="1"/>
    <col min="12556" max="12556" width="11.7109375" style="676" bestFit="1" customWidth="1"/>
    <col min="12557" max="12557" width="7.140625" style="676" customWidth="1"/>
    <col min="12558" max="12800" width="9.140625" style="676"/>
    <col min="12801" max="12801" width="3.85546875" style="676" customWidth="1"/>
    <col min="12802" max="12802" width="5.42578125" style="676" bestFit="1" customWidth="1"/>
    <col min="12803" max="12803" width="89.42578125" style="676" customWidth="1"/>
    <col min="12804" max="12804" width="18.28515625" style="676" customWidth="1"/>
    <col min="12805" max="12805" width="12.85546875" style="676" bestFit="1" customWidth="1"/>
    <col min="12806" max="12806" width="8.5703125" style="676" customWidth="1"/>
    <col min="12807" max="12807" width="11.140625" style="676" bestFit="1" customWidth="1"/>
    <col min="12808" max="12808" width="18.28515625" style="676" customWidth="1"/>
    <col min="12809" max="12809" width="13" style="676" customWidth="1"/>
    <col min="12810" max="12810" width="12.85546875" style="676" bestFit="1" customWidth="1"/>
    <col min="12811" max="12811" width="11.7109375" style="676" customWidth="1"/>
    <col min="12812" max="12812" width="11.7109375" style="676" bestFit="1" customWidth="1"/>
    <col min="12813" max="12813" width="7.140625" style="676" customWidth="1"/>
    <col min="12814" max="13056" width="9.140625" style="676"/>
    <col min="13057" max="13057" width="3.85546875" style="676" customWidth="1"/>
    <col min="13058" max="13058" width="5.42578125" style="676" bestFit="1" customWidth="1"/>
    <col min="13059" max="13059" width="89.42578125" style="676" customWidth="1"/>
    <col min="13060" max="13060" width="18.28515625" style="676" customWidth="1"/>
    <col min="13061" max="13061" width="12.85546875" style="676" bestFit="1" customWidth="1"/>
    <col min="13062" max="13062" width="8.5703125" style="676" customWidth="1"/>
    <col min="13063" max="13063" width="11.140625" style="676" bestFit="1" customWidth="1"/>
    <col min="13064" max="13064" width="18.28515625" style="676" customWidth="1"/>
    <col min="13065" max="13065" width="13" style="676" customWidth="1"/>
    <col min="13066" max="13066" width="12.85546875" style="676" bestFit="1" customWidth="1"/>
    <col min="13067" max="13067" width="11.7109375" style="676" customWidth="1"/>
    <col min="13068" max="13068" width="11.7109375" style="676" bestFit="1" customWidth="1"/>
    <col min="13069" max="13069" width="7.140625" style="676" customWidth="1"/>
    <col min="13070" max="13312" width="9.140625" style="676"/>
    <col min="13313" max="13313" width="3.85546875" style="676" customWidth="1"/>
    <col min="13314" max="13314" width="5.42578125" style="676" bestFit="1" customWidth="1"/>
    <col min="13315" max="13315" width="89.42578125" style="676" customWidth="1"/>
    <col min="13316" max="13316" width="18.28515625" style="676" customWidth="1"/>
    <col min="13317" max="13317" width="12.85546875" style="676" bestFit="1" customWidth="1"/>
    <col min="13318" max="13318" width="8.5703125" style="676" customWidth="1"/>
    <col min="13319" max="13319" width="11.140625" style="676" bestFit="1" customWidth="1"/>
    <col min="13320" max="13320" width="18.28515625" style="676" customWidth="1"/>
    <col min="13321" max="13321" width="13" style="676" customWidth="1"/>
    <col min="13322" max="13322" width="12.85546875" style="676" bestFit="1" customWidth="1"/>
    <col min="13323" max="13323" width="11.7109375" style="676" customWidth="1"/>
    <col min="13324" max="13324" width="11.7109375" style="676" bestFit="1" customWidth="1"/>
    <col min="13325" max="13325" width="7.140625" style="676" customWidth="1"/>
    <col min="13326" max="13568" width="9.140625" style="676"/>
    <col min="13569" max="13569" width="3.85546875" style="676" customWidth="1"/>
    <col min="13570" max="13570" width="5.42578125" style="676" bestFit="1" customWidth="1"/>
    <col min="13571" max="13571" width="89.42578125" style="676" customWidth="1"/>
    <col min="13572" max="13572" width="18.28515625" style="676" customWidth="1"/>
    <col min="13573" max="13573" width="12.85546875" style="676" bestFit="1" customWidth="1"/>
    <col min="13574" max="13574" width="8.5703125" style="676" customWidth="1"/>
    <col min="13575" max="13575" width="11.140625" style="676" bestFit="1" customWidth="1"/>
    <col min="13576" max="13576" width="18.28515625" style="676" customWidth="1"/>
    <col min="13577" max="13577" width="13" style="676" customWidth="1"/>
    <col min="13578" max="13578" width="12.85546875" style="676" bestFit="1" customWidth="1"/>
    <col min="13579" max="13579" width="11.7109375" style="676" customWidth="1"/>
    <col min="13580" max="13580" width="11.7109375" style="676" bestFit="1" customWidth="1"/>
    <col min="13581" max="13581" width="7.140625" style="676" customWidth="1"/>
    <col min="13582" max="13824" width="9.140625" style="676"/>
    <col min="13825" max="13825" width="3.85546875" style="676" customWidth="1"/>
    <col min="13826" max="13826" width="5.42578125" style="676" bestFit="1" customWidth="1"/>
    <col min="13827" max="13827" width="89.42578125" style="676" customWidth="1"/>
    <col min="13828" max="13828" width="18.28515625" style="676" customWidth="1"/>
    <col min="13829" max="13829" width="12.85546875" style="676" bestFit="1" customWidth="1"/>
    <col min="13830" max="13830" width="8.5703125" style="676" customWidth="1"/>
    <col min="13831" max="13831" width="11.140625" style="676" bestFit="1" customWidth="1"/>
    <col min="13832" max="13832" width="18.28515625" style="676" customWidth="1"/>
    <col min="13833" max="13833" width="13" style="676" customWidth="1"/>
    <col min="13834" max="13834" width="12.85546875" style="676" bestFit="1" customWidth="1"/>
    <col min="13835" max="13835" width="11.7109375" style="676" customWidth="1"/>
    <col min="13836" max="13836" width="11.7109375" style="676" bestFit="1" customWidth="1"/>
    <col min="13837" max="13837" width="7.140625" style="676" customWidth="1"/>
    <col min="13838" max="14080" width="9.140625" style="676"/>
    <col min="14081" max="14081" width="3.85546875" style="676" customWidth="1"/>
    <col min="14082" max="14082" width="5.42578125" style="676" bestFit="1" customWidth="1"/>
    <col min="14083" max="14083" width="89.42578125" style="676" customWidth="1"/>
    <col min="14084" max="14084" width="18.28515625" style="676" customWidth="1"/>
    <col min="14085" max="14085" width="12.85546875" style="676" bestFit="1" customWidth="1"/>
    <col min="14086" max="14086" width="8.5703125" style="676" customWidth="1"/>
    <col min="14087" max="14087" width="11.140625" style="676" bestFit="1" customWidth="1"/>
    <col min="14088" max="14088" width="18.28515625" style="676" customWidth="1"/>
    <col min="14089" max="14089" width="13" style="676" customWidth="1"/>
    <col min="14090" max="14090" width="12.85546875" style="676" bestFit="1" customWidth="1"/>
    <col min="14091" max="14091" width="11.7109375" style="676" customWidth="1"/>
    <col min="14092" max="14092" width="11.7109375" style="676" bestFit="1" customWidth="1"/>
    <col min="14093" max="14093" width="7.140625" style="676" customWidth="1"/>
    <col min="14094" max="14336" width="9.140625" style="676"/>
    <col min="14337" max="14337" width="3.85546875" style="676" customWidth="1"/>
    <col min="14338" max="14338" width="5.42578125" style="676" bestFit="1" customWidth="1"/>
    <col min="14339" max="14339" width="89.42578125" style="676" customWidth="1"/>
    <col min="14340" max="14340" width="18.28515625" style="676" customWidth="1"/>
    <col min="14341" max="14341" width="12.85546875" style="676" bestFit="1" customWidth="1"/>
    <col min="14342" max="14342" width="8.5703125" style="676" customWidth="1"/>
    <col min="14343" max="14343" width="11.140625" style="676" bestFit="1" customWidth="1"/>
    <col min="14344" max="14344" width="18.28515625" style="676" customWidth="1"/>
    <col min="14345" max="14345" width="13" style="676" customWidth="1"/>
    <col min="14346" max="14346" width="12.85546875" style="676" bestFit="1" customWidth="1"/>
    <col min="14347" max="14347" width="11.7109375" style="676" customWidth="1"/>
    <col min="14348" max="14348" width="11.7109375" style="676" bestFit="1" customWidth="1"/>
    <col min="14349" max="14349" width="7.140625" style="676" customWidth="1"/>
    <col min="14350" max="14592" width="9.140625" style="676"/>
    <col min="14593" max="14593" width="3.85546875" style="676" customWidth="1"/>
    <col min="14594" max="14594" width="5.42578125" style="676" bestFit="1" customWidth="1"/>
    <col min="14595" max="14595" width="89.42578125" style="676" customWidth="1"/>
    <col min="14596" max="14596" width="18.28515625" style="676" customWidth="1"/>
    <col min="14597" max="14597" width="12.85546875" style="676" bestFit="1" customWidth="1"/>
    <col min="14598" max="14598" width="8.5703125" style="676" customWidth="1"/>
    <col min="14599" max="14599" width="11.140625" style="676" bestFit="1" customWidth="1"/>
    <col min="14600" max="14600" width="18.28515625" style="676" customWidth="1"/>
    <col min="14601" max="14601" width="13" style="676" customWidth="1"/>
    <col min="14602" max="14602" width="12.85546875" style="676" bestFit="1" customWidth="1"/>
    <col min="14603" max="14603" width="11.7109375" style="676" customWidth="1"/>
    <col min="14604" max="14604" width="11.7109375" style="676" bestFit="1" customWidth="1"/>
    <col min="14605" max="14605" width="7.140625" style="676" customWidth="1"/>
    <col min="14606" max="14848" width="9.140625" style="676"/>
    <col min="14849" max="14849" width="3.85546875" style="676" customWidth="1"/>
    <col min="14850" max="14850" width="5.42578125" style="676" bestFit="1" customWidth="1"/>
    <col min="14851" max="14851" width="89.42578125" style="676" customWidth="1"/>
    <col min="14852" max="14852" width="18.28515625" style="676" customWidth="1"/>
    <col min="14853" max="14853" width="12.85546875" style="676" bestFit="1" customWidth="1"/>
    <col min="14854" max="14854" width="8.5703125" style="676" customWidth="1"/>
    <col min="14855" max="14855" width="11.140625" style="676" bestFit="1" customWidth="1"/>
    <col min="14856" max="14856" width="18.28515625" style="676" customWidth="1"/>
    <col min="14857" max="14857" width="13" style="676" customWidth="1"/>
    <col min="14858" max="14858" width="12.85546875" style="676" bestFit="1" customWidth="1"/>
    <col min="14859" max="14859" width="11.7109375" style="676" customWidth="1"/>
    <col min="14860" max="14860" width="11.7109375" style="676" bestFit="1" customWidth="1"/>
    <col min="14861" max="14861" width="7.140625" style="676" customWidth="1"/>
    <col min="14862" max="15104" width="9.140625" style="676"/>
    <col min="15105" max="15105" width="3.85546875" style="676" customWidth="1"/>
    <col min="15106" max="15106" width="5.42578125" style="676" bestFit="1" customWidth="1"/>
    <col min="15107" max="15107" width="89.42578125" style="676" customWidth="1"/>
    <col min="15108" max="15108" width="18.28515625" style="676" customWidth="1"/>
    <col min="15109" max="15109" width="12.85546875" style="676" bestFit="1" customWidth="1"/>
    <col min="15110" max="15110" width="8.5703125" style="676" customWidth="1"/>
    <col min="15111" max="15111" width="11.140625" style="676" bestFit="1" customWidth="1"/>
    <col min="15112" max="15112" width="18.28515625" style="676" customWidth="1"/>
    <col min="15113" max="15113" width="13" style="676" customWidth="1"/>
    <col min="15114" max="15114" width="12.85546875" style="676" bestFit="1" customWidth="1"/>
    <col min="15115" max="15115" width="11.7109375" style="676" customWidth="1"/>
    <col min="15116" max="15116" width="11.7109375" style="676" bestFit="1" customWidth="1"/>
    <col min="15117" max="15117" width="7.140625" style="676" customWidth="1"/>
    <col min="15118" max="15360" width="9.140625" style="676"/>
    <col min="15361" max="15361" width="3.85546875" style="676" customWidth="1"/>
    <col min="15362" max="15362" width="5.42578125" style="676" bestFit="1" customWidth="1"/>
    <col min="15363" max="15363" width="89.42578125" style="676" customWidth="1"/>
    <col min="15364" max="15364" width="18.28515625" style="676" customWidth="1"/>
    <col min="15365" max="15365" width="12.85546875" style="676" bestFit="1" customWidth="1"/>
    <col min="15366" max="15366" width="8.5703125" style="676" customWidth="1"/>
    <col min="15367" max="15367" width="11.140625" style="676" bestFit="1" customWidth="1"/>
    <col min="15368" max="15368" width="18.28515625" style="676" customWidth="1"/>
    <col min="15369" max="15369" width="13" style="676" customWidth="1"/>
    <col min="15370" max="15370" width="12.85546875" style="676" bestFit="1" customWidth="1"/>
    <col min="15371" max="15371" width="11.7109375" style="676" customWidth="1"/>
    <col min="15372" max="15372" width="11.7109375" style="676" bestFit="1" customWidth="1"/>
    <col min="15373" max="15373" width="7.140625" style="676" customWidth="1"/>
    <col min="15374" max="15616" width="9.140625" style="676"/>
    <col min="15617" max="15617" width="3.85546875" style="676" customWidth="1"/>
    <col min="15618" max="15618" width="5.42578125" style="676" bestFit="1" customWidth="1"/>
    <col min="15619" max="15619" width="89.42578125" style="676" customWidth="1"/>
    <col min="15620" max="15620" width="18.28515625" style="676" customWidth="1"/>
    <col min="15621" max="15621" width="12.85546875" style="676" bestFit="1" customWidth="1"/>
    <col min="15622" max="15622" width="8.5703125" style="676" customWidth="1"/>
    <col min="15623" max="15623" width="11.140625" style="676" bestFit="1" customWidth="1"/>
    <col min="15624" max="15624" width="18.28515625" style="676" customWidth="1"/>
    <col min="15625" max="15625" width="13" style="676" customWidth="1"/>
    <col min="15626" max="15626" width="12.85546875" style="676" bestFit="1" customWidth="1"/>
    <col min="15627" max="15627" width="11.7109375" style="676" customWidth="1"/>
    <col min="15628" max="15628" width="11.7109375" style="676" bestFit="1" customWidth="1"/>
    <col min="15629" max="15629" width="7.140625" style="676" customWidth="1"/>
    <col min="15630" max="15872" width="9.140625" style="676"/>
    <col min="15873" max="15873" width="3.85546875" style="676" customWidth="1"/>
    <col min="15874" max="15874" width="5.42578125" style="676" bestFit="1" customWidth="1"/>
    <col min="15875" max="15875" width="89.42578125" style="676" customWidth="1"/>
    <col min="15876" max="15876" width="18.28515625" style="676" customWidth="1"/>
    <col min="15877" max="15877" width="12.85546875" style="676" bestFit="1" customWidth="1"/>
    <col min="15878" max="15878" width="8.5703125" style="676" customWidth="1"/>
    <col min="15879" max="15879" width="11.140625" style="676" bestFit="1" customWidth="1"/>
    <col min="15880" max="15880" width="18.28515625" style="676" customWidth="1"/>
    <col min="15881" max="15881" width="13" style="676" customWidth="1"/>
    <col min="15882" max="15882" width="12.85546875" style="676" bestFit="1" customWidth="1"/>
    <col min="15883" max="15883" width="11.7109375" style="676" customWidth="1"/>
    <col min="15884" max="15884" width="11.7109375" style="676" bestFit="1" customWidth="1"/>
    <col min="15885" max="15885" width="7.140625" style="676" customWidth="1"/>
    <col min="15886" max="16128" width="9.140625" style="676"/>
    <col min="16129" max="16129" width="3.85546875" style="676" customWidth="1"/>
    <col min="16130" max="16130" width="5.42578125" style="676" bestFit="1" customWidth="1"/>
    <col min="16131" max="16131" width="89.42578125" style="676" customWidth="1"/>
    <col min="16132" max="16132" width="18.28515625" style="676" customWidth="1"/>
    <col min="16133" max="16133" width="12.85546875" style="676" bestFit="1" customWidth="1"/>
    <col min="16134" max="16134" width="8.5703125" style="676" customWidth="1"/>
    <col min="16135" max="16135" width="11.140625" style="676" bestFit="1" customWidth="1"/>
    <col min="16136" max="16136" width="18.28515625" style="676" customWidth="1"/>
    <col min="16137" max="16137" width="13" style="676" customWidth="1"/>
    <col min="16138" max="16138" width="12.85546875" style="676" bestFit="1" customWidth="1"/>
    <col min="16139" max="16139" width="11.7109375" style="676" customWidth="1"/>
    <col min="16140" max="16140" width="11.7109375" style="676" bestFit="1" customWidth="1"/>
    <col min="16141" max="16141" width="7.140625" style="676" customWidth="1"/>
    <col min="16142" max="16384" width="9.140625" style="676"/>
  </cols>
  <sheetData>
    <row r="1" spans="2:14" ht="24.75" customHeight="1" thickBot="1"/>
    <row r="2" spans="2:14" ht="33.75" customHeight="1" thickBot="1">
      <c r="B2" s="1344" t="s">
        <v>1432</v>
      </c>
      <c r="C2" s="1345"/>
      <c r="D2" s="1345"/>
      <c r="E2" s="1345"/>
      <c r="F2" s="1345"/>
      <c r="G2" s="1345"/>
      <c r="H2" s="1345"/>
      <c r="I2" s="1345"/>
      <c r="J2" s="1345"/>
      <c r="K2" s="1346" t="s">
        <v>1433</v>
      </c>
      <c r="L2" s="1346"/>
      <c r="M2" s="1346"/>
      <c r="N2" s="1346"/>
    </row>
    <row r="3" spans="2:14" ht="30" customHeight="1">
      <c r="B3" s="677" t="s">
        <v>10</v>
      </c>
      <c r="C3" s="678" t="s">
        <v>828</v>
      </c>
      <c r="D3" s="678" t="s">
        <v>829</v>
      </c>
      <c r="E3" s="678" t="s">
        <v>30</v>
      </c>
      <c r="F3" s="678" t="s">
        <v>830</v>
      </c>
      <c r="G3" s="678" t="s">
        <v>831</v>
      </c>
      <c r="H3" s="678" t="s">
        <v>85</v>
      </c>
      <c r="I3" s="678" t="s">
        <v>832</v>
      </c>
      <c r="J3" s="679" t="s">
        <v>833</v>
      </c>
      <c r="K3" s="1346"/>
      <c r="L3" s="1346"/>
      <c r="M3" s="1346"/>
      <c r="N3" s="1346"/>
    </row>
    <row r="4" spans="2:14" ht="16.5" customHeight="1">
      <c r="B4" s="680">
        <v>1</v>
      </c>
      <c r="C4" s="681" t="s">
        <v>834</v>
      </c>
      <c r="D4" s="682">
        <v>38600</v>
      </c>
      <c r="E4" s="683">
        <f>ROUND(D27,0)*M6</f>
        <v>75</v>
      </c>
      <c r="F4" s="682" t="s">
        <v>835</v>
      </c>
      <c r="G4" s="684">
        <v>5.71</v>
      </c>
      <c r="H4" s="287">
        <v>0</v>
      </c>
      <c r="I4" s="685">
        <f>G4*(1+H4)</f>
        <v>5.71</v>
      </c>
      <c r="J4" s="686">
        <f>I4*E4</f>
        <v>428.25</v>
      </c>
      <c r="K4" s="1346"/>
      <c r="L4" s="1346"/>
      <c r="M4" s="1346"/>
      <c r="N4" s="1346"/>
    </row>
    <row r="5" spans="2:14" ht="16.5">
      <c r="B5" s="680">
        <v>2</v>
      </c>
      <c r="C5" s="681" t="s">
        <v>837</v>
      </c>
      <c r="D5" s="682">
        <v>34570</v>
      </c>
      <c r="E5" s="683">
        <f>ROUND(D26,0)*M6</f>
        <v>181</v>
      </c>
      <c r="F5" s="682" t="s">
        <v>835</v>
      </c>
      <c r="G5" s="684">
        <v>5.31</v>
      </c>
      <c r="H5" s="287">
        <v>0</v>
      </c>
      <c r="I5" s="685">
        <f t="shared" ref="I5:I12" si="0">G5*(1+H5)</f>
        <v>5.31</v>
      </c>
      <c r="J5" s="686">
        <f t="shared" ref="J5:J12" si="1">I5*E5</f>
        <v>961.1099999999999</v>
      </c>
      <c r="K5" s="1347" t="s">
        <v>1434</v>
      </c>
      <c r="L5" s="1347"/>
      <c r="M5" s="687">
        <v>5</v>
      </c>
      <c r="N5" s="688" t="s">
        <v>107</v>
      </c>
    </row>
    <row r="6" spans="2:14" ht="16.5">
      <c r="B6" s="680">
        <v>3</v>
      </c>
      <c r="C6" s="681" t="s">
        <v>838</v>
      </c>
      <c r="D6" s="682">
        <v>1379</v>
      </c>
      <c r="E6" s="683">
        <f>I26*M6</f>
        <v>577.59715789784809</v>
      </c>
      <c r="F6" s="682" t="s">
        <v>839</v>
      </c>
      <c r="G6" s="684">
        <v>0.68</v>
      </c>
      <c r="H6" s="287">
        <v>0</v>
      </c>
      <c r="I6" s="685">
        <f t="shared" si="0"/>
        <v>0.68</v>
      </c>
      <c r="J6" s="686">
        <f t="shared" si="1"/>
        <v>392.76606737053675</v>
      </c>
      <c r="K6" s="1347" t="s">
        <v>1435</v>
      </c>
      <c r="L6" s="1347"/>
      <c r="M6" s="687">
        <v>1</v>
      </c>
      <c r="N6" s="688" t="s">
        <v>1436</v>
      </c>
    </row>
    <row r="7" spans="2:14" ht="35.25" customHeight="1">
      <c r="B7" s="680">
        <v>4</v>
      </c>
      <c r="C7" s="681" t="s">
        <v>840</v>
      </c>
      <c r="D7" s="235" t="s">
        <v>841</v>
      </c>
      <c r="E7" s="683">
        <f>I27*M6</f>
        <v>1.2977886141517274</v>
      </c>
      <c r="F7" s="682" t="s">
        <v>842</v>
      </c>
      <c r="G7" s="684">
        <v>103.33</v>
      </c>
      <c r="H7" s="287">
        <v>0</v>
      </c>
      <c r="I7" s="685">
        <f t="shared" si="0"/>
        <v>103.33</v>
      </c>
      <c r="J7" s="689">
        <f t="shared" si="1"/>
        <v>134.10049750029799</v>
      </c>
      <c r="K7" s="1348"/>
      <c r="L7" s="1349"/>
      <c r="M7" s="690"/>
      <c r="N7" s="691"/>
    </row>
    <row r="8" spans="2:14" ht="16.5">
      <c r="B8" s="680">
        <v>5</v>
      </c>
      <c r="C8" s="681" t="s">
        <v>844</v>
      </c>
      <c r="D8" s="235" t="s">
        <v>845</v>
      </c>
      <c r="E8" s="683">
        <f>I28*M6</f>
        <v>1.2165640138223426</v>
      </c>
      <c r="F8" s="682" t="s">
        <v>842</v>
      </c>
      <c r="G8" s="684">
        <v>85</v>
      </c>
      <c r="H8" s="287">
        <v>0</v>
      </c>
      <c r="I8" s="685">
        <f t="shared" si="0"/>
        <v>85</v>
      </c>
      <c r="J8" s="689">
        <f t="shared" si="1"/>
        <v>103.40794117489912</v>
      </c>
    </row>
    <row r="9" spans="2:14" ht="33">
      <c r="B9" s="680">
        <v>6</v>
      </c>
      <c r="C9" s="681" t="s">
        <v>846</v>
      </c>
      <c r="D9" s="235" t="s">
        <v>847</v>
      </c>
      <c r="E9" s="683">
        <v>1</v>
      </c>
      <c r="F9" s="682" t="s">
        <v>839</v>
      </c>
      <c r="G9" s="684">
        <v>30.99</v>
      </c>
      <c r="H9" s="287">
        <v>0</v>
      </c>
      <c r="I9" s="685">
        <f t="shared" si="0"/>
        <v>30.99</v>
      </c>
      <c r="J9" s="689">
        <f t="shared" si="1"/>
        <v>30.99</v>
      </c>
    </row>
    <row r="10" spans="2:14" ht="16.5">
      <c r="B10" s="680">
        <v>7</v>
      </c>
      <c r="C10" s="681" t="s">
        <v>848</v>
      </c>
      <c r="D10" s="254">
        <v>34</v>
      </c>
      <c r="E10" s="683">
        <f>(K43+K44+K45)*M6</f>
        <v>155.34288000000001</v>
      </c>
      <c r="F10" s="682" t="s">
        <v>839</v>
      </c>
      <c r="G10" s="684">
        <v>8.89</v>
      </c>
      <c r="H10" s="287">
        <v>0</v>
      </c>
      <c r="I10" s="685">
        <f t="shared" si="0"/>
        <v>8.89</v>
      </c>
      <c r="J10" s="689">
        <f t="shared" si="1"/>
        <v>1380.9982032000003</v>
      </c>
    </row>
    <row r="11" spans="2:14" ht="16.5">
      <c r="B11" s="680">
        <v>8</v>
      </c>
      <c r="C11" s="681" t="s">
        <v>849</v>
      </c>
      <c r="D11" s="254">
        <v>43055</v>
      </c>
      <c r="E11" s="683">
        <f>(K41+K42)*M6</f>
        <v>58.08</v>
      </c>
      <c r="F11" s="682" t="s">
        <v>839</v>
      </c>
      <c r="G11" s="684">
        <v>7.7</v>
      </c>
      <c r="H11" s="287">
        <v>0</v>
      </c>
      <c r="I11" s="685">
        <f t="shared" si="0"/>
        <v>7.7</v>
      </c>
      <c r="J11" s="689">
        <f t="shared" si="1"/>
        <v>447.21600000000001</v>
      </c>
    </row>
    <row r="12" spans="2:14" ht="16.5" customHeight="1">
      <c r="B12" s="680">
        <v>9</v>
      </c>
      <c r="C12" s="681" t="s">
        <v>850</v>
      </c>
      <c r="D12" s="254">
        <v>88309</v>
      </c>
      <c r="E12" s="683">
        <f>(1*8*M5)*M6</f>
        <v>40</v>
      </c>
      <c r="F12" s="682" t="s">
        <v>352</v>
      </c>
      <c r="G12" s="684">
        <v>30.53</v>
      </c>
      <c r="H12" s="287">
        <v>0</v>
      </c>
      <c r="I12" s="685">
        <f t="shared" si="0"/>
        <v>30.53</v>
      </c>
      <c r="J12" s="689">
        <f t="shared" si="1"/>
        <v>1221.2</v>
      </c>
    </row>
    <row r="13" spans="2:14" ht="16.5">
      <c r="B13" s="680">
        <v>10</v>
      </c>
      <c r="C13" s="681" t="s">
        <v>851</v>
      </c>
      <c r="D13" s="254">
        <v>88242</v>
      </c>
      <c r="E13" s="683">
        <f>(1*8*M5)*M6</f>
        <v>40</v>
      </c>
      <c r="F13" s="682" t="s">
        <v>352</v>
      </c>
      <c r="G13" s="684">
        <v>26.34</v>
      </c>
      <c r="H13" s="287">
        <v>0</v>
      </c>
      <c r="I13" s="685">
        <f>G13*(1+H13)</f>
        <v>26.34</v>
      </c>
      <c r="J13" s="689">
        <f>I13*E13</f>
        <v>1053.5999999999999</v>
      </c>
    </row>
    <row r="14" spans="2:14" ht="16.5">
      <c r="B14" s="680">
        <v>11</v>
      </c>
      <c r="C14" s="681" t="s">
        <v>852</v>
      </c>
      <c r="D14" s="254">
        <v>88245</v>
      </c>
      <c r="E14" s="683">
        <f>(1*8*1)*M6</f>
        <v>8</v>
      </c>
      <c r="F14" s="682" t="s">
        <v>352</v>
      </c>
      <c r="G14" s="684">
        <v>30.31</v>
      </c>
      <c r="H14" s="287">
        <v>0</v>
      </c>
      <c r="I14" s="685">
        <f>G14*(1+H14)</f>
        <v>30.31</v>
      </c>
      <c r="J14" s="689">
        <f>I14*E14</f>
        <v>242.48</v>
      </c>
    </row>
    <row r="15" spans="2:14" ht="16.5">
      <c r="B15" s="680">
        <v>12</v>
      </c>
      <c r="C15" s="681" t="s">
        <v>853</v>
      </c>
      <c r="D15" s="254">
        <v>90778</v>
      </c>
      <c r="E15" s="683">
        <f>(1*4*M5)*M6</f>
        <v>20</v>
      </c>
      <c r="F15" s="682" t="s">
        <v>352</v>
      </c>
      <c r="G15" s="684">
        <v>118.42</v>
      </c>
      <c r="H15" s="287">
        <v>0</v>
      </c>
      <c r="I15" s="685">
        <f>G15*(1+H15)</f>
        <v>118.42</v>
      </c>
      <c r="J15" s="689">
        <f>I15*E15</f>
        <v>2368.4</v>
      </c>
    </row>
    <row r="16" spans="2:14" ht="66.75" customHeight="1" thickBot="1">
      <c r="B16" s="680">
        <v>13</v>
      </c>
      <c r="C16" s="681" t="s">
        <v>854</v>
      </c>
      <c r="D16" s="254">
        <v>5928</v>
      </c>
      <c r="E16" s="683">
        <v>4</v>
      </c>
      <c r="F16" s="682" t="s">
        <v>179</v>
      </c>
      <c r="G16" s="684">
        <v>271.66000000000003</v>
      </c>
      <c r="H16" s="287">
        <v>0</v>
      </c>
      <c r="I16" s="685">
        <f>G16*(1+H16)</f>
        <v>271.66000000000003</v>
      </c>
      <c r="J16" s="689">
        <f>I16*E16</f>
        <v>1086.6400000000001</v>
      </c>
    </row>
    <row r="17" spans="2:13" ht="50.25" hidden="1" thickBot="1">
      <c r="B17" s="692">
        <v>14</v>
      </c>
      <c r="C17" s="693" t="s">
        <v>855</v>
      </c>
      <c r="D17" s="694">
        <v>5678</v>
      </c>
      <c r="E17" s="695">
        <v>0</v>
      </c>
      <c r="F17" s="694" t="s">
        <v>179</v>
      </c>
      <c r="G17" s="696">
        <v>147.83000000000001</v>
      </c>
      <c r="H17" s="287">
        <v>0</v>
      </c>
      <c r="I17" s="696">
        <f>G17*(1+H17)</f>
        <v>147.83000000000001</v>
      </c>
      <c r="J17" s="697">
        <f>I17*E17</f>
        <v>0</v>
      </c>
    </row>
    <row r="18" spans="2:13" ht="24.75" customHeight="1" thickBot="1">
      <c r="B18" s="1341" t="s">
        <v>1437</v>
      </c>
      <c r="C18" s="1342"/>
      <c r="D18" s="1342"/>
      <c r="E18" s="1342"/>
      <c r="F18" s="1342"/>
      <c r="G18" s="1342"/>
      <c r="H18" s="1342"/>
      <c r="I18" s="1343"/>
      <c r="J18" s="698">
        <f>SUM(J4:J17)</f>
        <v>9851.1587092457321</v>
      </c>
      <c r="M18" s="699"/>
    </row>
    <row r="19" spans="2:13" ht="18" customHeight="1" thickBot="1"/>
    <row r="20" spans="2:13" ht="35.25" customHeight="1">
      <c r="B20" s="700"/>
      <c r="C20" s="1332" t="s">
        <v>1438</v>
      </c>
      <c r="D20" s="1333"/>
      <c r="E20" s="1333"/>
      <c r="F20" s="1333"/>
      <c r="G20" s="1333"/>
      <c r="H20" s="1333"/>
      <c r="I20" s="1333"/>
      <c r="J20" s="1333"/>
      <c r="K20" s="1333"/>
      <c r="L20" s="1334"/>
      <c r="M20" s="701"/>
    </row>
    <row r="21" spans="2:13" ht="16.5">
      <c r="B21" s="289"/>
      <c r="C21" s="1335" t="s">
        <v>927</v>
      </c>
      <c r="D21" s="1336"/>
      <c r="E21" s="1336"/>
      <c r="F21" s="1336"/>
      <c r="G21" s="290"/>
      <c r="H21" s="1336" t="s">
        <v>856</v>
      </c>
      <c r="I21" s="1336"/>
      <c r="J21" s="1336"/>
      <c r="K21" s="1336"/>
      <c r="L21" s="1337"/>
      <c r="M21" s="289"/>
    </row>
    <row r="22" spans="2:13" ht="16.5" customHeight="1">
      <c r="B22" s="289"/>
      <c r="C22" s="702" t="s">
        <v>857</v>
      </c>
      <c r="D22" s="293" t="s">
        <v>822</v>
      </c>
      <c r="E22" s="293" t="s">
        <v>858</v>
      </c>
      <c r="F22" s="293" t="s">
        <v>859</v>
      </c>
      <c r="G22" s="290"/>
      <c r="H22" s="1338" t="s">
        <v>860</v>
      </c>
      <c r="I22" s="1338" t="s">
        <v>861</v>
      </c>
      <c r="J22" s="1338" t="s">
        <v>862</v>
      </c>
      <c r="K22" s="1338" t="s">
        <v>863</v>
      </c>
      <c r="L22" s="1340" t="s">
        <v>864</v>
      </c>
      <c r="M22" s="289"/>
    </row>
    <row r="23" spans="2:13" ht="16.5">
      <c r="B23" s="289"/>
      <c r="C23" s="703" t="s">
        <v>865</v>
      </c>
      <c r="D23" s="295">
        <f>D24-0.4</f>
        <v>2</v>
      </c>
      <c r="E23" s="295">
        <f>E24-0.4</f>
        <v>2</v>
      </c>
      <c r="F23" s="295">
        <v>2</v>
      </c>
      <c r="G23" s="290"/>
      <c r="H23" s="1339"/>
      <c r="I23" s="1339"/>
      <c r="J23" s="1339"/>
      <c r="K23" s="1339"/>
      <c r="L23" s="1340"/>
      <c r="M23" s="289"/>
    </row>
    <row r="24" spans="2:13" ht="16.5">
      <c r="B24" s="289"/>
      <c r="C24" s="703" t="s">
        <v>866</v>
      </c>
      <c r="D24" s="295">
        <v>2.4</v>
      </c>
      <c r="E24" s="295">
        <v>2.4</v>
      </c>
      <c r="F24" s="295">
        <v>2</v>
      </c>
      <c r="G24" s="704"/>
      <c r="H24" s="296" t="s">
        <v>867</v>
      </c>
      <c r="I24" s="682">
        <v>6.4</v>
      </c>
      <c r="J24" s="682">
        <v>0.71899999999999997</v>
      </c>
      <c r="K24" s="682">
        <v>0.67400000000000004</v>
      </c>
      <c r="L24" s="705">
        <v>207</v>
      </c>
      <c r="M24" s="289"/>
    </row>
    <row r="25" spans="2:13" ht="16.5">
      <c r="B25" s="289"/>
      <c r="C25" s="706" t="s">
        <v>868</v>
      </c>
      <c r="D25" s="297" t="s">
        <v>869</v>
      </c>
      <c r="E25" s="297" t="s">
        <v>830</v>
      </c>
      <c r="F25" s="289"/>
      <c r="G25" s="704"/>
      <c r="H25" s="297" t="s">
        <v>868</v>
      </c>
      <c r="I25" s="298" t="s">
        <v>30</v>
      </c>
      <c r="J25" s="297" t="s">
        <v>830</v>
      </c>
      <c r="K25" s="289"/>
      <c r="L25" s="292"/>
      <c r="M25" s="289"/>
    </row>
    <row r="26" spans="2:13" ht="16.5">
      <c r="B26" s="289"/>
      <c r="C26" s="703" t="s">
        <v>870</v>
      </c>
      <c r="D26" s="299">
        <f>((((D24+D24+E24+E24)*F24)*12.5)-D27)*1.1</f>
        <v>181.23600000000002</v>
      </c>
      <c r="E26" s="296" t="s">
        <v>871</v>
      </c>
      <c r="F26" s="289"/>
      <c r="G26" s="704"/>
      <c r="H26" s="294" t="s">
        <v>872</v>
      </c>
      <c r="I26" s="295">
        <f>F36*I24*50</f>
        <v>577.59715789784809</v>
      </c>
      <c r="J26" s="682" t="s">
        <v>130</v>
      </c>
      <c r="K26" s="300"/>
      <c r="L26" s="291"/>
      <c r="M26" s="289"/>
    </row>
    <row r="27" spans="2:13" ht="16.5">
      <c r="B27" s="289"/>
      <c r="C27" s="703" t="s">
        <v>873</v>
      </c>
      <c r="D27" s="299">
        <f>((((D24+D24+E24+E24)*0.19)*3)*12.5)*1.1</f>
        <v>75.239999999999995</v>
      </c>
      <c r="E27" s="296" t="s">
        <v>871</v>
      </c>
      <c r="F27" s="290"/>
      <c r="G27" s="704"/>
      <c r="H27" s="294" t="s">
        <v>874</v>
      </c>
      <c r="I27" s="295">
        <f>F36*J24</f>
        <v>1.2977886141517274</v>
      </c>
      <c r="J27" s="682" t="s">
        <v>18</v>
      </c>
      <c r="K27" s="290"/>
      <c r="L27" s="291"/>
      <c r="M27" s="289"/>
    </row>
    <row r="28" spans="2:13" ht="16.5">
      <c r="B28" s="289"/>
      <c r="C28" s="288"/>
      <c r="D28" s="289"/>
      <c r="E28" s="289"/>
      <c r="F28" s="289"/>
      <c r="G28" s="704"/>
      <c r="H28" s="294" t="s">
        <v>875</v>
      </c>
      <c r="I28" s="295">
        <f>F36*K24</f>
        <v>1.2165640138223426</v>
      </c>
      <c r="J28" s="682" t="s">
        <v>18</v>
      </c>
      <c r="K28" s="290"/>
      <c r="L28" s="291"/>
      <c r="M28" s="289"/>
    </row>
    <row r="29" spans="2:13" ht="5.25" customHeight="1">
      <c r="B29" s="289"/>
      <c r="C29" s="288"/>
      <c r="D29" s="289"/>
      <c r="E29" s="289"/>
      <c r="F29" s="289"/>
      <c r="G29" s="290"/>
      <c r="H29" s="290"/>
      <c r="I29" s="290"/>
      <c r="J29" s="290"/>
      <c r="K29" s="290"/>
      <c r="L29" s="707"/>
      <c r="M29" s="290"/>
    </row>
    <row r="30" spans="2:13" ht="16.5">
      <c r="B30" s="289"/>
      <c r="C30" s="1323" t="s">
        <v>876</v>
      </c>
      <c r="D30" s="1324"/>
      <c r="E30" s="1324"/>
      <c r="F30" s="1324"/>
      <c r="G30" s="301"/>
      <c r="H30" s="1325" t="s">
        <v>877</v>
      </c>
      <c r="I30" s="1325"/>
      <c r="J30" s="1325"/>
      <c r="K30" s="1325"/>
      <c r="L30" s="1326"/>
      <c r="M30" s="290"/>
    </row>
    <row r="31" spans="2:13" ht="33">
      <c r="B31" s="289"/>
      <c r="C31" s="708" t="s">
        <v>878</v>
      </c>
      <c r="D31" s="638" t="s">
        <v>30</v>
      </c>
      <c r="E31" s="638" t="s">
        <v>879</v>
      </c>
      <c r="F31" s="638" t="s">
        <v>880</v>
      </c>
      <c r="G31" s="301"/>
      <c r="H31" s="1321" t="s">
        <v>881</v>
      </c>
      <c r="I31" s="639" t="s">
        <v>882</v>
      </c>
      <c r="J31" s="639" t="s">
        <v>883</v>
      </c>
      <c r="K31" s="639" t="s">
        <v>884</v>
      </c>
      <c r="L31" s="709" t="s">
        <v>885</v>
      </c>
      <c r="M31" s="290"/>
    </row>
    <row r="32" spans="2:13" ht="16.5">
      <c r="B32" s="289"/>
      <c r="C32" s="710" t="s">
        <v>886</v>
      </c>
      <c r="D32" s="295">
        <v>6</v>
      </c>
      <c r="E32" s="303">
        <f>((PI()*0.2*0.2)/4)*2</f>
        <v>6.2831853071795868E-2</v>
      </c>
      <c r="F32" s="295">
        <f>E32*D32</f>
        <v>0.37699111843077521</v>
      </c>
      <c r="G32" s="301"/>
      <c r="H32" s="1322"/>
      <c r="I32" s="295">
        <f>D23</f>
        <v>2</v>
      </c>
      <c r="J32" s="295">
        <f>E23</f>
        <v>2</v>
      </c>
      <c r="K32" s="295">
        <v>0.1</v>
      </c>
      <c r="L32" s="711">
        <f>K32*J32*I32</f>
        <v>0.4</v>
      </c>
      <c r="M32" s="290"/>
    </row>
    <row r="33" spans="2:13" ht="16.5">
      <c r="B33" s="289"/>
      <c r="C33" s="710" t="s">
        <v>887</v>
      </c>
      <c r="D33" s="295">
        <v>6</v>
      </c>
      <c r="E33" s="303">
        <f>F23*0.0144</f>
        <v>2.8799999999999999E-2</v>
      </c>
      <c r="F33" s="295">
        <f>E33*D33</f>
        <v>0.17280000000000001</v>
      </c>
      <c r="G33" s="301"/>
      <c r="H33" s="1327" t="s">
        <v>888</v>
      </c>
      <c r="I33" s="639" t="s">
        <v>889</v>
      </c>
      <c r="J33" s="639" t="s">
        <v>890</v>
      </c>
      <c r="K33" s="639" t="s">
        <v>885</v>
      </c>
      <c r="L33" s="291"/>
      <c r="M33" s="290"/>
    </row>
    <row r="34" spans="2:13" ht="16.5">
      <c r="B34" s="289"/>
      <c r="C34" s="710" t="s">
        <v>891</v>
      </c>
      <c r="D34" s="295">
        <v>3</v>
      </c>
      <c r="E34" s="303">
        <f>0.0163*8</f>
        <v>0.13039999999999999</v>
      </c>
      <c r="F34" s="295">
        <f>E34*D34</f>
        <v>0.39119999999999999</v>
      </c>
      <c r="G34" s="301"/>
      <c r="H34" s="1327"/>
      <c r="I34" s="295">
        <v>0.3</v>
      </c>
      <c r="J34" s="295">
        <v>0.8</v>
      </c>
      <c r="K34" s="295">
        <f>((3.14*(I34*I34)/4)*J34)</f>
        <v>5.6520000000000008E-2</v>
      </c>
      <c r="L34" s="291"/>
      <c r="M34" s="290"/>
    </row>
    <row r="35" spans="2:13" ht="16.5">
      <c r="B35" s="289"/>
      <c r="C35" s="710" t="s">
        <v>892</v>
      </c>
      <c r="D35" s="295">
        <v>1</v>
      </c>
      <c r="E35" s="303">
        <f>D24*E24*0.15</f>
        <v>0.86399999999999999</v>
      </c>
      <c r="F35" s="295">
        <f>E35*D35</f>
        <v>0.86399999999999999</v>
      </c>
      <c r="G35" s="301"/>
      <c r="H35" s="704"/>
      <c r="I35" s="704"/>
      <c r="J35" s="290"/>
      <c r="K35" s="290"/>
      <c r="L35" s="291"/>
      <c r="M35" s="290"/>
    </row>
    <row r="36" spans="2:13" ht="16.5">
      <c r="B36" s="289"/>
      <c r="C36" s="712"/>
      <c r="D36" s="304"/>
      <c r="E36" s="304"/>
      <c r="F36" s="305">
        <f>SUM(F32:F35)</f>
        <v>1.8049911184307752</v>
      </c>
      <c r="G36" s="301"/>
      <c r="H36" s="704"/>
      <c r="I36" s="704"/>
      <c r="J36" s="290"/>
      <c r="K36" s="290"/>
      <c r="L36" s="291"/>
      <c r="M36" s="290"/>
    </row>
    <row r="37" spans="2:13" ht="6.75" customHeight="1">
      <c r="B37" s="289"/>
      <c r="C37" s="712"/>
      <c r="D37" s="304"/>
      <c r="E37" s="304"/>
      <c r="F37" s="306"/>
      <c r="G37" s="301"/>
      <c r="H37" s="704"/>
      <c r="I37" s="704"/>
      <c r="J37" s="290"/>
      <c r="K37" s="290"/>
      <c r="L37" s="291"/>
      <c r="M37" s="290"/>
    </row>
    <row r="38" spans="2:13" ht="16.5">
      <c r="B38" s="289"/>
      <c r="C38" s="712"/>
      <c r="D38" s="1328" t="s">
        <v>893</v>
      </c>
      <c r="E38" s="1329"/>
      <c r="F38" s="1329"/>
      <c r="G38" s="1329"/>
      <c r="H38" s="1329"/>
      <c r="I38" s="1329"/>
      <c r="J38" s="1329"/>
      <c r="K38" s="1330"/>
      <c r="L38" s="291"/>
      <c r="M38" s="290"/>
    </row>
    <row r="39" spans="2:13" ht="16.5">
      <c r="B39" s="289"/>
      <c r="C39" s="712"/>
      <c r="D39" s="1331" t="s">
        <v>894</v>
      </c>
      <c r="E39" s="1321" t="s">
        <v>895</v>
      </c>
      <c r="F39" s="1321" t="s">
        <v>30</v>
      </c>
      <c r="G39" s="1321" t="s">
        <v>896</v>
      </c>
      <c r="H39" s="1321" t="s">
        <v>897</v>
      </c>
      <c r="I39" s="1321" t="s">
        <v>898</v>
      </c>
      <c r="J39" s="1321" t="s">
        <v>899</v>
      </c>
      <c r="K39" s="1321" t="s">
        <v>900</v>
      </c>
      <c r="L39" s="291"/>
      <c r="M39" s="290"/>
    </row>
    <row r="40" spans="2:13" ht="16.5">
      <c r="B40" s="289"/>
      <c r="C40" s="712"/>
      <c r="D40" s="1331"/>
      <c r="E40" s="1322"/>
      <c r="F40" s="1322"/>
      <c r="G40" s="1322"/>
      <c r="H40" s="1322"/>
      <c r="I40" s="1322"/>
      <c r="J40" s="1322"/>
      <c r="K40" s="1322"/>
      <c r="L40" s="291"/>
      <c r="M40" s="290"/>
    </row>
    <row r="41" spans="2:13" ht="16.5">
      <c r="B41" s="289"/>
      <c r="C41" s="712"/>
      <c r="D41" s="302" t="s">
        <v>901</v>
      </c>
      <c r="E41" s="294" t="s">
        <v>902</v>
      </c>
      <c r="F41" s="294">
        <v>3</v>
      </c>
      <c r="G41" s="295">
        <f>(D24+D24+E24+E24)+0.4</f>
        <v>10</v>
      </c>
      <c r="H41" s="294">
        <f>G41*F41</f>
        <v>30</v>
      </c>
      <c r="I41" s="295">
        <v>1</v>
      </c>
      <c r="J41" s="295">
        <f>I41*H41</f>
        <v>30</v>
      </c>
      <c r="K41" s="295">
        <f>J41*1.1</f>
        <v>33</v>
      </c>
      <c r="L41" s="291"/>
      <c r="M41" s="290"/>
    </row>
    <row r="42" spans="2:13" ht="16.5">
      <c r="B42" s="289"/>
      <c r="C42" s="712"/>
      <c r="D42" s="302" t="s">
        <v>903</v>
      </c>
      <c r="E42" s="294" t="s">
        <v>902</v>
      </c>
      <c r="F42" s="294">
        <v>6</v>
      </c>
      <c r="G42" s="295">
        <f>2+1.8</f>
        <v>3.8</v>
      </c>
      <c r="H42" s="294">
        <f>G42*F42</f>
        <v>22.799999999999997</v>
      </c>
      <c r="I42" s="295">
        <v>1</v>
      </c>
      <c r="J42" s="295">
        <f>I42*H42</f>
        <v>22.799999999999997</v>
      </c>
      <c r="K42" s="295">
        <f>J42*1.1</f>
        <v>25.08</v>
      </c>
      <c r="L42" s="291"/>
      <c r="M42" s="290"/>
    </row>
    <row r="43" spans="2:13" ht="16.5">
      <c r="B43" s="289"/>
      <c r="C43" s="712"/>
      <c r="D43" s="302" t="s">
        <v>904</v>
      </c>
      <c r="E43" s="294" t="s">
        <v>905</v>
      </c>
      <c r="F43" s="294">
        <f>26*2</f>
        <v>52</v>
      </c>
      <c r="G43" s="295">
        <f>((D24-0.06)+0.18)</f>
        <v>2.52</v>
      </c>
      <c r="H43" s="294">
        <f>G43*F43</f>
        <v>131.04</v>
      </c>
      <c r="I43" s="295">
        <v>0.63</v>
      </c>
      <c r="J43" s="295">
        <f>I43*H43</f>
        <v>82.555199999999999</v>
      </c>
      <c r="K43" s="295">
        <f>J43*1.1</f>
        <v>90.810720000000003</v>
      </c>
      <c r="L43" s="291"/>
      <c r="M43" s="290"/>
    </row>
    <row r="44" spans="2:13" ht="16.5">
      <c r="B44" s="289"/>
      <c r="C44" s="712"/>
      <c r="D44" s="302" t="s">
        <v>906</v>
      </c>
      <c r="E44" s="294" t="s">
        <v>905</v>
      </c>
      <c r="F44" s="294">
        <f>18*2</f>
        <v>36</v>
      </c>
      <c r="G44" s="295">
        <f>((E24-0.06)+0.18)</f>
        <v>2.52</v>
      </c>
      <c r="H44" s="294">
        <f>G44*F44</f>
        <v>90.72</v>
      </c>
      <c r="I44" s="295">
        <v>0.63</v>
      </c>
      <c r="J44" s="295">
        <f>I44*H44</f>
        <v>57.153599999999997</v>
      </c>
      <c r="K44" s="295">
        <f>J44*1.1</f>
        <v>62.868960000000001</v>
      </c>
      <c r="L44" s="291"/>
      <c r="M44" s="290"/>
    </row>
    <row r="45" spans="2:13" ht="16.5">
      <c r="B45" s="289"/>
      <c r="C45" s="712"/>
      <c r="D45" s="302" t="s">
        <v>907</v>
      </c>
      <c r="E45" s="294" t="s">
        <v>905</v>
      </c>
      <c r="F45" s="294">
        <v>2</v>
      </c>
      <c r="G45" s="295">
        <v>1.2</v>
      </c>
      <c r="H45" s="294">
        <f>G45*F45</f>
        <v>2.4</v>
      </c>
      <c r="I45" s="295">
        <v>0.63</v>
      </c>
      <c r="J45" s="295">
        <f>I45*H45</f>
        <v>1.512</v>
      </c>
      <c r="K45" s="307">
        <f>J45*1.1</f>
        <v>1.6632000000000002</v>
      </c>
      <c r="L45" s="291"/>
      <c r="M45" s="290"/>
    </row>
    <row r="46" spans="2:13" ht="17.25" thickBot="1">
      <c r="B46" s="289"/>
      <c r="C46" s="713"/>
      <c r="D46" s="714"/>
      <c r="E46" s="714"/>
      <c r="F46" s="714"/>
      <c r="G46" s="714"/>
      <c r="H46" s="714"/>
      <c r="I46" s="714"/>
      <c r="J46" s="308"/>
      <c r="K46" s="715">
        <f>SUM(K41:K45)</f>
        <v>213.42287999999999</v>
      </c>
      <c r="L46" s="309"/>
      <c r="M46" s="290"/>
    </row>
    <row r="47" spans="2:13" ht="16.5">
      <c r="B47" s="289"/>
      <c r="C47" s="704"/>
      <c r="D47" s="704"/>
      <c r="E47" s="704"/>
      <c r="F47" s="704"/>
      <c r="G47" s="704"/>
      <c r="H47" s="704"/>
      <c r="I47" s="290"/>
      <c r="J47" s="290"/>
      <c r="K47" s="290"/>
      <c r="L47" s="290"/>
      <c r="M47" s="290"/>
    </row>
  </sheetData>
  <mergeCells count="27">
    <mergeCell ref="B18:I18"/>
    <mergeCell ref="B2:J2"/>
    <mergeCell ref="K2:N4"/>
    <mergeCell ref="K5:L5"/>
    <mergeCell ref="K6:L6"/>
    <mergeCell ref="K7:L7"/>
    <mergeCell ref="C20:L20"/>
    <mergeCell ref="C21:F21"/>
    <mergeCell ref="H21:L21"/>
    <mergeCell ref="H22:H23"/>
    <mergeCell ref="I22:I23"/>
    <mergeCell ref="J22:J23"/>
    <mergeCell ref="K22:K23"/>
    <mergeCell ref="L22:L23"/>
    <mergeCell ref="I39:I40"/>
    <mergeCell ref="J39:J40"/>
    <mergeCell ref="K39:K40"/>
    <mergeCell ref="C30:F30"/>
    <mergeCell ref="H30:L30"/>
    <mergeCell ref="H31:H32"/>
    <mergeCell ref="H33:H34"/>
    <mergeCell ref="D38:K38"/>
    <mergeCell ref="D39:D40"/>
    <mergeCell ref="E39:E40"/>
    <mergeCell ref="F39:F40"/>
    <mergeCell ref="G39:G40"/>
    <mergeCell ref="H39:H40"/>
  </mergeCells>
  <pageMargins left="0.51181102362204722" right="0.51181102362204722" top="0.78740157480314965" bottom="0.78740157480314965" header="0.31496062992125984" footer="0.31496062992125984"/>
  <pageSetup paperSize="9" scale="59" orientation="landscape" horizontalDpi="360" verticalDpi="360" r:id="rId1"/>
  <rowBreaks count="1" manualBreakCount="1">
    <brk id="18" max="16383" man="1"/>
  </rowBreaks>
</worksheet>
</file>

<file path=xl/worksheets/sheet12.xml><?xml version="1.0" encoding="utf-8"?>
<worksheet xmlns="http://schemas.openxmlformats.org/spreadsheetml/2006/main" xmlns:r="http://schemas.openxmlformats.org/officeDocument/2006/relationships">
  <sheetPr codeName="Planilha9"/>
  <dimension ref="A1:Q19"/>
  <sheetViews>
    <sheetView view="pageBreakPreview" zoomScale="85" zoomScaleNormal="85" zoomScaleSheetLayoutView="85" workbookViewId="0">
      <selection activeCell="A9" sqref="A9"/>
    </sheetView>
  </sheetViews>
  <sheetFormatPr defaultRowHeight="14.25"/>
  <cols>
    <col min="1" max="1" width="9.140625" style="663"/>
    <col min="2" max="2" width="5" style="664" customWidth="1"/>
    <col min="3" max="3" width="86.85546875" style="663" bestFit="1" customWidth="1"/>
    <col min="4" max="4" width="18" style="663" bestFit="1" customWidth="1"/>
    <col min="5" max="5" width="14.85546875" style="663" bestFit="1" customWidth="1"/>
    <col min="6" max="6" width="16.85546875" style="663" customWidth="1"/>
    <col min="7" max="7" width="16.7109375" style="663" customWidth="1"/>
    <col min="8" max="8" width="14.28515625" style="663" customWidth="1"/>
    <col min="9" max="9" width="25.28515625" style="663" customWidth="1"/>
    <col min="10" max="10" width="21.28515625" style="663" customWidth="1"/>
    <col min="11" max="11" width="5.28515625" style="663" bestFit="1" customWidth="1"/>
    <col min="12" max="12" width="2.85546875" style="663" bestFit="1" customWidth="1"/>
    <col min="13" max="13" width="18.42578125" style="663" bestFit="1" customWidth="1"/>
    <col min="14" max="14" width="15.28515625" style="664" bestFit="1" customWidth="1"/>
    <col min="15" max="15" width="9.140625" style="664"/>
    <col min="16" max="16" width="21.85546875" style="663" customWidth="1"/>
    <col min="17" max="17" width="9.140625" style="664"/>
    <col min="18" max="16384" width="9.140625" style="663"/>
  </cols>
  <sheetData>
    <row r="1" spans="1:16" ht="64.5" customHeight="1">
      <c r="C1" s="1351"/>
      <c r="D1" s="1351"/>
      <c r="E1" s="1351"/>
      <c r="F1" s="1351"/>
      <c r="G1" s="1351"/>
    </row>
    <row r="2" spans="1:16" ht="21" customHeight="1">
      <c r="B2" s="1352" t="s">
        <v>1442</v>
      </c>
      <c r="C2" s="1353"/>
      <c r="D2" s="1353"/>
      <c r="E2" s="1353"/>
      <c r="F2" s="1353"/>
      <c r="G2" s="1354"/>
      <c r="H2" s="669"/>
    </row>
    <row r="3" spans="1:16" ht="16.5" customHeight="1">
      <c r="C3" s="1355" t="s">
        <v>1424</v>
      </c>
      <c r="D3" s="1356"/>
      <c r="E3" s="1356"/>
      <c r="F3" s="1356"/>
      <c r="G3" s="1357"/>
    </row>
    <row r="4" spans="1:16" s="664" customFormat="1">
      <c r="A4" s="663"/>
      <c r="C4" s="1352" t="s">
        <v>1426</v>
      </c>
      <c r="D4" s="1353"/>
      <c r="E4" s="1353"/>
      <c r="F4" s="1353"/>
      <c r="G4" s="1354"/>
      <c r="H4" s="663"/>
      <c r="I4" s="663"/>
      <c r="J4" s="663"/>
      <c r="K4" s="663"/>
      <c r="L4" s="663"/>
      <c r="M4" s="663"/>
      <c r="P4" s="663"/>
    </row>
    <row r="5" spans="1:16" s="664" customFormat="1" ht="30.75" customHeight="1">
      <c r="A5" s="663"/>
      <c r="C5" s="671" t="s">
        <v>1427</v>
      </c>
      <c r="D5" s="666" t="s">
        <v>1425</v>
      </c>
      <c r="E5" s="667">
        <v>20</v>
      </c>
      <c r="F5" s="668">
        <f>255.48*1.28</f>
        <v>327.01439999999997</v>
      </c>
      <c r="G5" s="672">
        <f>+F5*E5</f>
        <v>6540.2879999999996</v>
      </c>
      <c r="H5" s="663"/>
      <c r="I5" s="663"/>
      <c r="J5" s="663"/>
      <c r="K5" s="663"/>
      <c r="L5" s="663"/>
      <c r="M5" s="663"/>
      <c r="P5" s="663"/>
    </row>
    <row r="6" spans="1:16" s="664" customFormat="1">
      <c r="A6" s="663"/>
      <c r="C6" s="665" t="s">
        <v>1428</v>
      </c>
      <c r="D6" s="666" t="s">
        <v>1425</v>
      </c>
      <c r="E6" s="667">
        <f>4*2</f>
        <v>8</v>
      </c>
      <c r="F6" s="668">
        <f>35.19*1.28</f>
        <v>45.043199999999999</v>
      </c>
      <c r="G6" s="672">
        <f>+F6*E6</f>
        <v>360.34559999999999</v>
      </c>
      <c r="H6" s="663"/>
      <c r="I6" s="663"/>
      <c r="J6" s="663"/>
      <c r="K6" s="663"/>
      <c r="L6" s="663"/>
      <c r="M6" s="663"/>
      <c r="P6" s="663"/>
    </row>
    <row r="7" spans="1:16" s="664" customFormat="1">
      <c r="A7" s="663"/>
      <c r="C7" s="665" t="s">
        <v>1441</v>
      </c>
      <c r="D7" s="666" t="s">
        <v>1425</v>
      </c>
      <c r="E7" s="667">
        <f>8*2</f>
        <v>16</v>
      </c>
      <c r="F7" s="668">
        <f>32.05*1.28</f>
        <v>41.023999999999994</v>
      </c>
      <c r="G7" s="672">
        <f>+F7*E7</f>
        <v>656.3839999999999</v>
      </c>
      <c r="H7" s="663"/>
      <c r="I7" s="663"/>
      <c r="J7" s="663"/>
      <c r="K7" s="663"/>
      <c r="L7" s="663"/>
      <c r="M7" s="663"/>
      <c r="P7" s="663"/>
    </row>
    <row r="8" spans="1:16" s="664" customFormat="1">
      <c r="A8" s="663"/>
      <c r="C8" s="665" t="s">
        <v>1429</v>
      </c>
      <c r="D8" s="666" t="s">
        <v>1425</v>
      </c>
      <c r="E8" s="667">
        <f>(8*2)*2</f>
        <v>32</v>
      </c>
      <c r="F8" s="668">
        <f>20.34*1.28</f>
        <v>26.0352</v>
      </c>
      <c r="G8" s="672">
        <f>+F8*E8</f>
        <v>833.12639999999999</v>
      </c>
      <c r="H8" s="663"/>
      <c r="I8" s="663"/>
      <c r="J8" s="663"/>
      <c r="K8" s="663"/>
      <c r="L8" s="663"/>
      <c r="M8" s="663"/>
      <c r="P8" s="663"/>
    </row>
    <row r="9" spans="1:16" s="664" customFormat="1">
      <c r="A9" s="663"/>
      <c r="C9" s="1358" t="s">
        <v>1430</v>
      </c>
      <c r="D9" s="1359"/>
      <c r="E9" s="1359"/>
      <c r="F9" s="1359"/>
      <c r="G9" s="673">
        <f>SUM(G5:G8)</f>
        <v>8390.1439999999984</v>
      </c>
      <c r="H9" s="663"/>
      <c r="I9" s="663"/>
      <c r="J9" s="663"/>
      <c r="K9" s="663"/>
      <c r="L9" s="663"/>
      <c r="M9" s="663"/>
      <c r="P9" s="663"/>
    </row>
    <row r="10" spans="1:16" s="664" customFormat="1">
      <c r="A10" s="663"/>
      <c r="C10" s="674" t="s">
        <v>1431</v>
      </c>
      <c r="D10" s="1350">
        <f>+SUM(G9)</f>
        <v>8390.1439999999984</v>
      </c>
      <c r="E10" s="1350"/>
      <c r="F10" s="675"/>
      <c r="G10" s="670"/>
      <c r="H10" s="663"/>
      <c r="I10" s="663"/>
      <c r="J10" s="663"/>
      <c r="K10" s="663"/>
      <c r="L10" s="663"/>
      <c r="M10" s="663"/>
      <c r="P10" s="663"/>
    </row>
    <row r="11" spans="1:16" s="664" customFormat="1">
      <c r="A11" s="663"/>
      <c r="C11" s="663"/>
      <c r="F11" s="663"/>
      <c r="G11" s="663"/>
      <c r="H11" s="663"/>
      <c r="I11" s="663"/>
      <c r="J11" s="663"/>
      <c r="K11" s="663"/>
      <c r="L11" s="663"/>
      <c r="M11" s="663"/>
      <c r="P11" s="663"/>
    </row>
    <row r="12" spans="1:16" s="664" customFormat="1">
      <c r="A12" s="663"/>
      <c r="C12" s="663" t="e">
        <f>#REF!</f>
        <v>#REF!</v>
      </c>
      <c r="F12" s="663"/>
      <c r="G12" s="663"/>
      <c r="H12" s="663"/>
      <c r="I12" s="663"/>
      <c r="J12" s="663"/>
      <c r="K12" s="663"/>
      <c r="L12" s="663"/>
      <c r="M12" s="663"/>
      <c r="P12" s="663"/>
    </row>
    <row r="13" spans="1:16" s="664" customFormat="1">
      <c r="A13" s="663"/>
      <c r="C13" s="663"/>
      <c r="F13" s="663"/>
      <c r="G13" s="663"/>
      <c r="H13" s="663"/>
      <c r="I13" s="663"/>
      <c r="J13" s="663"/>
      <c r="K13" s="663"/>
      <c r="L13" s="663"/>
      <c r="M13" s="663"/>
      <c r="P13" s="663"/>
    </row>
    <row r="14" spans="1:16" s="664" customFormat="1">
      <c r="A14" s="663"/>
      <c r="C14" s="663"/>
      <c r="F14" s="663"/>
      <c r="G14" s="663"/>
      <c r="H14" s="663"/>
      <c r="I14" s="663"/>
      <c r="J14" s="663"/>
      <c r="K14" s="663"/>
      <c r="L14" s="663"/>
      <c r="M14" s="663"/>
      <c r="P14" s="663"/>
    </row>
    <row r="15" spans="1:16" s="664" customFormat="1">
      <c r="A15" s="663"/>
      <c r="C15" s="663"/>
      <c r="F15" s="663"/>
      <c r="G15" s="663"/>
      <c r="H15" s="663"/>
      <c r="I15" s="663"/>
      <c r="J15" s="663"/>
      <c r="K15" s="663"/>
      <c r="L15" s="663"/>
      <c r="M15" s="663"/>
      <c r="P15" s="663"/>
    </row>
    <row r="16" spans="1:16" s="664" customFormat="1">
      <c r="A16" s="663"/>
      <c r="C16" s="663" t="s">
        <v>763</v>
      </c>
      <c r="F16" s="663"/>
      <c r="G16" s="663"/>
      <c r="H16" s="663"/>
      <c r="I16" s="663"/>
      <c r="J16" s="663"/>
      <c r="K16" s="663"/>
      <c r="L16" s="663"/>
      <c r="M16" s="663"/>
      <c r="P16" s="663"/>
    </row>
    <row r="17" spans="1:16" s="664" customFormat="1">
      <c r="A17" s="663"/>
      <c r="C17" s="663" t="e">
        <f>#REF!</f>
        <v>#REF!</v>
      </c>
      <c r="F17" s="663"/>
      <c r="G17" s="663"/>
      <c r="H17" s="663"/>
      <c r="I17" s="663"/>
      <c r="J17" s="663"/>
      <c r="K17" s="663"/>
      <c r="L17" s="663"/>
      <c r="M17" s="663"/>
      <c r="P17" s="663"/>
    </row>
    <row r="18" spans="1:16" s="664" customFormat="1">
      <c r="A18" s="663"/>
      <c r="C18" s="663"/>
      <c r="F18" s="663"/>
      <c r="G18" s="663"/>
      <c r="H18" s="663"/>
      <c r="I18" s="663"/>
      <c r="J18" s="663"/>
      <c r="K18" s="663"/>
      <c r="L18" s="663"/>
      <c r="M18" s="663"/>
      <c r="P18" s="663"/>
    </row>
    <row r="19" spans="1:16" s="664" customFormat="1">
      <c r="A19" s="663"/>
      <c r="C19" s="663"/>
      <c r="F19" s="663"/>
      <c r="G19" s="663"/>
      <c r="H19" s="663"/>
      <c r="I19" s="663"/>
      <c r="J19" s="663"/>
      <c r="K19" s="663"/>
      <c r="L19" s="663"/>
      <c r="M19" s="663"/>
      <c r="P19" s="663"/>
    </row>
  </sheetData>
  <mergeCells count="6">
    <mergeCell ref="D10:E10"/>
    <mergeCell ref="C1:G1"/>
    <mergeCell ref="B2:G2"/>
    <mergeCell ref="C3:G3"/>
    <mergeCell ref="C4:G4"/>
    <mergeCell ref="C9:F9"/>
  </mergeCells>
  <printOptions horizontalCentered="1"/>
  <pageMargins left="0.51181102362204722" right="0.51181102362204722" top="0.59055118110236227" bottom="0.59055118110236227" header="0" footer="0.11811023622047245"/>
  <pageSetup paperSize="9" scale="86" orientation="landscape" r:id="rId1"/>
  <rowBreaks count="1" manualBreakCount="1">
    <brk id="18" min="2" max="6" man="1"/>
  </rowBreaks>
  <drawing r:id="rId2"/>
</worksheet>
</file>

<file path=xl/worksheets/sheet2.xml><?xml version="1.0" encoding="utf-8"?>
<worksheet xmlns="http://schemas.openxmlformats.org/spreadsheetml/2006/main" xmlns:r="http://schemas.openxmlformats.org/officeDocument/2006/relationships">
  <sheetPr codeName="Plan1">
    <pageSetUpPr fitToPage="1"/>
  </sheetPr>
  <dimension ref="A1:N660"/>
  <sheetViews>
    <sheetView view="pageBreakPreview" topLeftCell="A490" zoomScale="85" zoomScaleNormal="85" zoomScaleSheetLayoutView="85" workbookViewId="0">
      <selection activeCell="E517" sqref="E517:F517"/>
    </sheetView>
  </sheetViews>
  <sheetFormatPr defaultRowHeight="12.75"/>
  <cols>
    <col min="1" max="1" width="9.7109375" style="3" bestFit="1" customWidth="1"/>
    <col min="2" max="2" width="111.140625" style="1" customWidth="1"/>
    <col min="3" max="3" width="10" style="1" customWidth="1"/>
    <col min="4" max="4" width="9" style="3" customWidth="1"/>
    <col min="5" max="5" width="11.7109375" style="3" customWidth="1"/>
    <col min="6" max="6" width="11.85546875" style="3" customWidth="1"/>
    <col min="7" max="7" width="14.42578125" style="1" customWidth="1"/>
    <col min="8" max="8" width="11.140625" style="3" customWidth="1"/>
    <col min="9" max="9" width="18" style="3" customWidth="1"/>
    <col min="10" max="10" width="21" style="1" bestFit="1" customWidth="1"/>
    <col min="11" max="11" width="14" style="1" bestFit="1" customWidth="1"/>
    <col min="12" max="12" width="16" style="1" bestFit="1" customWidth="1"/>
    <col min="13" max="14" width="11" style="1" bestFit="1" customWidth="1"/>
    <col min="15" max="16384" width="9.140625" style="1"/>
  </cols>
  <sheetData>
    <row r="1" spans="1:14" ht="27" customHeight="1">
      <c r="A1" s="940" t="s">
        <v>128</v>
      </c>
      <c r="B1" s="941"/>
      <c r="C1" s="941"/>
      <c r="D1" s="941"/>
      <c r="E1" s="941"/>
      <c r="F1" s="941"/>
      <c r="G1" s="941"/>
      <c r="H1" s="941"/>
      <c r="I1" s="941"/>
      <c r="J1" s="942"/>
    </row>
    <row r="2" spans="1:14" s="46" customFormat="1" ht="15.75">
      <c r="A2" s="226" t="s">
        <v>349</v>
      </c>
      <c r="B2" s="947" t="s">
        <v>762</v>
      </c>
      <c r="C2" s="948"/>
      <c r="D2" s="948"/>
      <c r="E2" s="948"/>
      <c r="F2" s="948"/>
      <c r="G2" s="948"/>
      <c r="H2" s="948"/>
      <c r="I2" s="948"/>
      <c r="J2" s="949"/>
      <c r="K2" s="45"/>
      <c r="L2" s="45"/>
    </row>
    <row r="3" spans="1:14" s="46" customFormat="1" ht="15.75">
      <c r="A3" s="226" t="s">
        <v>9</v>
      </c>
      <c r="B3" s="924" t="s">
        <v>1138</v>
      </c>
      <c r="C3" s="925"/>
      <c r="D3" s="925"/>
      <c r="E3" s="925"/>
      <c r="F3" s="925"/>
      <c r="G3" s="925"/>
      <c r="H3" s="925"/>
      <c r="I3" s="925"/>
      <c r="J3" s="926"/>
      <c r="K3" s="45"/>
      <c r="L3" s="45"/>
    </row>
    <row r="4" spans="1:14" ht="19.5" customHeight="1">
      <c r="A4" s="943" t="s">
        <v>10</v>
      </c>
      <c r="B4" s="943" t="s">
        <v>11</v>
      </c>
      <c r="C4" s="943" t="s">
        <v>134</v>
      </c>
      <c r="D4" s="943" t="s">
        <v>121</v>
      </c>
      <c r="E4" s="950" t="s">
        <v>1155</v>
      </c>
      <c r="F4" s="950" t="s">
        <v>1154</v>
      </c>
      <c r="G4" s="945" t="s">
        <v>135</v>
      </c>
      <c r="H4" s="952" t="s">
        <v>12</v>
      </c>
      <c r="I4" s="953"/>
      <c r="J4" s="945" t="s">
        <v>137</v>
      </c>
    </row>
    <row r="5" spans="1:14" ht="20.25" customHeight="1" thickBot="1">
      <c r="A5" s="944"/>
      <c r="B5" s="944"/>
      <c r="C5" s="944"/>
      <c r="D5" s="944"/>
      <c r="E5" s="951"/>
      <c r="F5" s="951"/>
      <c r="G5" s="946"/>
      <c r="H5" s="191" t="s">
        <v>13</v>
      </c>
      <c r="I5" s="191" t="s">
        <v>136</v>
      </c>
      <c r="J5" s="946"/>
    </row>
    <row r="6" spans="1:14">
      <c r="A6" s="411">
        <f>OBSOLETO!C7</f>
        <v>1</v>
      </c>
      <c r="B6" s="116" t="s">
        <v>366</v>
      </c>
      <c r="C6" s="116"/>
      <c r="D6" s="116"/>
      <c r="E6" s="116"/>
      <c r="F6" s="116"/>
      <c r="G6" s="116"/>
      <c r="H6" s="116"/>
      <c r="I6" s="116"/>
      <c r="J6" s="412"/>
    </row>
    <row r="7" spans="1:14" ht="27.75" customHeight="1">
      <c r="A7" s="27" t="str">
        <f>OBSOLETO!D8</f>
        <v>1.1</v>
      </c>
      <c r="B7" s="110" t="str">
        <f>OBSOLETO!E8</f>
        <v>Modelagem Hidráulica Matematica, utilizando software WaterCAD, ou EPANET, do sistema de distribuição de água de Ipaussu - SP.</v>
      </c>
      <c r="C7" s="30">
        <f>OBSOLETO!R8</f>
        <v>1</v>
      </c>
      <c r="D7" s="30" t="str">
        <f>OBSOLETO!S8</f>
        <v>Und</v>
      </c>
      <c r="E7" s="927" t="s">
        <v>183</v>
      </c>
      <c r="F7" s="928"/>
      <c r="G7" s="32" t="e">
        <f>#REF!</f>
        <v>#REF!</v>
      </c>
      <c r="H7" s="33">
        <v>0</v>
      </c>
      <c r="I7" s="218" t="e">
        <f t="shared" ref="I7" si="0">ROUND(G7*H7,2)</f>
        <v>#REF!</v>
      </c>
      <c r="J7" s="313" t="e">
        <f t="shared" ref="J7" si="1">ROUND(IF(ISNUMBER(I7),C7*(G7+I7),C7*G7),2)</f>
        <v>#REF!</v>
      </c>
    </row>
    <row r="8" spans="1:14">
      <c r="A8" s="27"/>
      <c r="B8" s="2" t="s">
        <v>14</v>
      </c>
      <c r="C8" s="30"/>
      <c r="D8" s="27"/>
      <c r="E8" s="26"/>
      <c r="F8" s="26"/>
      <c r="G8" s="28"/>
      <c r="H8" s="48"/>
      <c r="I8" s="219"/>
      <c r="J8" s="414" t="e">
        <f>SUM(J7:J7)</f>
        <v>#REF!</v>
      </c>
    </row>
    <row r="9" spans="1:14">
      <c r="A9" s="933"/>
      <c r="B9" s="934"/>
      <c r="C9" s="934"/>
      <c r="D9" s="934"/>
      <c r="E9" s="934"/>
      <c r="F9" s="934"/>
      <c r="G9" s="934"/>
      <c r="H9" s="934"/>
      <c r="I9" s="934"/>
      <c r="J9" s="935"/>
    </row>
    <row r="10" spans="1:14">
      <c r="A10" s="411">
        <f>OBSOLETO!C10</f>
        <v>2</v>
      </c>
      <c r="B10" s="116" t="str">
        <f>OBSOLETO!D10</f>
        <v>Projeto dos Macromedidores</v>
      </c>
      <c r="C10" s="116"/>
      <c r="D10" s="116"/>
      <c r="E10" s="116"/>
      <c r="F10" s="116"/>
      <c r="G10" s="116"/>
      <c r="H10" s="116"/>
      <c r="I10" s="116"/>
      <c r="J10" s="412"/>
    </row>
    <row r="11" spans="1:14">
      <c r="A11" s="27" t="str">
        <f>OBSOLETO!D11</f>
        <v>2.1</v>
      </c>
      <c r="B11" s="719" t="str">
        <f>OBSOLETO!E11</f>
        <v xml:space="preserve">Projeto hidráulico dos macromedidores de vazão </v>
      </c>
      <c r="C11" s="30">
        <f>OBSOLETO!R11</f>
        <v>12</v>
      </c>
      <c r="D11" s="30" t="str">
        <f>OBSOLETO!S11</f>
        <v>Und</v>
      </c>
      <c r="E11" s="927" t="s">
        <v>1106</v>
      </c>
      <c r="F11" s="928"/>
      <c r="G11" s="32">
        <v>3128.84</v>
      </c>
      <c r="H11" s="33">
        <v>0</v>
      </c>
      <c r="I11" s="218">
        <f t="shared" ref="I11" si="2">ROUND(G11*H11,2)</f>
        <v>0</v>
      </c>
      <c r="J11" s="313">
        <f t="shared" ref="J11" si="3">ROUND(IF(ISNUMBER(I11),C11*(G11+I11),C11*G11),2)</f>
        <v>37546.080000000002</v>
      </c>
    </row>
    <row r="12" spans="1:14">
      <c r="A12" s="27"/>
      <c r="B12" s="207" t="s">
        <v>15</v>
      </c>
      <c r="C12" s="208"/>
      <c r="D12" s="209"/>
      <c r="E12" s="210"/>
      <c r="F12" s="210"/>
      <c r="G12" s="211"/>
      <c r="H12" s="212"/>
      <c r="I12" s="223"/>
      <c r="J12" s="415">
        <f>SUM(J11:J11)</f>
        <v>37546.080000000002</v>
      </c>
    </row>
    <row r="13" spans="1:14">
      <c r="A13" s="933"/>
      <c r="B13" s="934"/>
      <c r="C13" s="934"/>
      <c r="D13" s="934"/>
      <c r="E13" s="934"/>
      <c r="F13" s="934"/>
      <c r="G13" s="934"/>
      <c r="H13" s="934"/>
      <c r="I13" s="934"/>
      <c r="J13" s="935"/>
    </row>
    <row r="14" spans="1:14">
      <c r="A14" s="416">
        <f>OBSOLETO!C13</f>
        <v>1</v>
      </c>
      <c r="B14" s="494" t="str">
        <f>OBSOLETO!D13</f>
        <v>Serviços preliminares e Implantação de Canteiro de Obras</v>
      </c>
      <c r="C14" s="116"/>
      <c r="D14" s="116"/>
      <c r="E14" s="116"/>
      <c r="F14" s="116"/>
      <c r="G14" s="116"/>
      <c r="H14" s="116"/>
      <c r="I14" s="116"/>
      <c r="J14" s="412"/>
    </row>
    <row r="15" spans="1:14" ht="25.5">
      <c r="A15" s="413" t="str">
        <f>OBSOLETO!D14</f>
        <v>1.1</v>
      </c>
      <c r="B15" s="110" t="str">
        <f>OBSOLETO!E14</f>
        <v>Trator de pneus, Potência 85 CV, Tração 4X4, peso com lastro de 4.675  KG  (Limpeza mecanizada da área de implantação do canteiro)</v>
      </c>
      <c r="C15" s="30">
        <f>OBSOLETO!R14</f>
        <v>16</v>
      </c>
      <c r="D15" s="30" t="str">
        <f>OBSOLETO!S14</f>
        <v>H</v>
      </c>
      <c r="E15" s="26">
        <v>89035</v>
      </c>
      <c r="F15" s="26" t="s">
        <v>28</v>
      </c>
      <c r="G15" s="32">
        <v>135.31</v>
      </c>
      <c r="H15" s="33">
        <f>BDI!$E$19</f>
        <v>0.24117279049169804</v>
      </c>
      <c r="I15" s="218">
        <f t="shared" ref="I15:I23" si="4">ROUND(G15*H15,2)</f>
        <v>32.630000000000003</v>
      </c>
      <c r="J15" s="313">
        <f t="shared" ref="J15:J22" si="5">ROUND(IF(ISNUMBER(I15),C15*(G15+I15),C15*G15),2)</f>
        <v>2687.04</v>
      </c>
    </row>
    <row r="16" spans="1:14" s="43" customFormat="1">
      <c r="A16" s="413" t="str">
        <f>OBSOLETO!D15</f>
        <v>1.2</v>
      </c>
      <c r="B16" s="110" t="str">
        <f>OBSOLETO!E15</f>
        <v>Tapume com compensado de madeira (Fechamento de área 20m x 20m x 2,20 m/h)</v>
      </c>
      <c r="C16" s="30">
        <f>OBSOLETO!R15</f>
        <v>176</v>
      </c>
      <c r="D16" s="30" t="str">
        <f>OBSOLETO!S15</f>
        <v>m²</v>
      </c>
      <c r="E16" s="26">
        <v>98458</v>
      </c>
      <c r="F16" s="26" t="s">
        <v>28</v>
      </c>
      <c r="G16" s="32">
        <v>157.11000000000001</v>
      </c>
      <c r="H16" s="33">
        <f>BDI!$E$19</f>
        <v>0.24117279049169804</v>
      </c>
      <c r="I16" s="218">
        <f t="shared" si="4"/>
        <v>37.89</v>
      </c>
      <c r="J16" s="313">
        <f t="shared" si="5"/>
        <v>34320</v>
      </c>
      <c r="L16" s="319"/>
      <c r="M16" s="1"/>
      <c r="N16" s="1"/>
    </row>
    <row r="17" spans="1:12" ht="25.5">
      <c r="A17" s="413" t="str">
        <f>OBSOLETO!D16</f>
        <v>1.3</v>
      </c>
      <c r="B17" s="110" t="str">
        <f>OBSOLETO!E16</f>
        <v>Locação de Container 2,30 X 6,00 m, Alt. 2,50 m, com 1 sanitário, para escritório, completo, sem divisórias internas (não inclui mobilização/desmobilização)</v>
      </c>
      <c r="C17" s="30">
        <f>OBSOLETO!R16</f>
        <v>12</v>
      </c>
      <c r="D17" s="30" t="str">
        <f>OBSOLETO!S16</f>
        <v>mês</v>
      </c>
      <c r="E17" s="26">
        <v>10775</v>
      </c>
      <c r="F17" s="26" t="s">
        <v>28</v>
      </c>
      <c r="G17" s="32">
        <v>793</v>
      </c>
      <c r="H17" s="33">
        <f>BDI!$E$35</f>
        <v>0.14012827909185233</v>
      </c>
      <c r="I17" s="218">
        <f t="shared" si="4"/>
        <v>111.12</v>
      </c>
      <c r="J17" s="313">
        <f t="shared" si="5"/>
        <v>10849.44</v>
      </c>
    </row>
    <row r="18" spans="1:12" ht="25.5">
      <c r="A18" s="413" t="str">
        <f>OBSOLETO!D17</f>
        <v>1.4</v>
      </c>
      <c r="B18" s="110" t="str">
        <f>OBSOLETO!E17</f>
        <v>Locação de container 2,30 X 4,30 m, Alt. 2,50 m, p/ sanitário, c/ 5 Bacias, 1 lavatório e 4 mictórios (não inclui mobilização/desmobilização)</v>
      </c>
      <c r="C18" s="30">
        <f>OBSOLETO!R17</f>
        <v>12</v>
      </c>
      <c r="D18" s="30" t="str">
        <f>OBSOLETO!S17</f>
        <v>mês</v>
      </c>
      <c r="E18" s="26">
        <v>10779</v>
      </c>
      <c r="F18" s="26" t="s">
        <v>28</v>
      </c>
      <c r="G18" s="32">
        <v>991.25</v>
      </c>
      <c r="H18" s="33">
        <f>BDI!$E$35</f>
        <v>0.14012827909185233</v>
      </c>
      <c r="I18" s="218">
        <f t="shared" si="4"/>
        <v>138.9</v>
      </c>
      <c r="J18" s="313">
        <f t="shared" si="5"/>
        <v>13561.8</v>
      </c>
    </row>
    <row r="19" spans="1:12" ht="14.25" customHeight="1">
      <c r="A19" s="413" t="str">
        <f>OBSOLETO!D18</f>
        <v>1.5</v>
      </c>
      <c r="B19" s="110" t="str">
        <f>OBSOLETO!E18</f>
        <v>Sanitário Portátil Químico Individual - Locação</v>
      </c>
      <c r="C19" s="30">
        <f>OBSOLETO!R18</f>
        <v>12</v>
      </c>
      <c r="D19" s="30" t="str">
        <f>OBSOLETO!S18</f>
        <v>mês</v>
      </c>
      <c r="E19" s="90" t="s">
        <v>28</v>
      </c>
      <c r="F19" s="91" t="s">
        <v>351</v>
      </c>
      <c r="G19" s="32">
        <v>790</v>
      </c>
      <c r="H19" s="92">
        <v>0</v>
      </c>
      <c r="I19" s="218">
        <f t="shared" si="4"/>
        <v>0</v>
      </c>
      <c r="J19" s="313">
        <f t="shared" si="5"/>
        <v>9480</v>
      </c>
    </row>
    <row r="20" spans="1:12" ht="14.25" customHeight="1">
      <c r="A20" s="413" t="str">
        <f>OBSOLETO!D19</f>
        <v>1.6</v>
      </c>
      <c r="B20" s="110" t="str">
        <f>OBSOLETO!E19</f>
        <v>Locação de Container tipo Depósito - área mínima de 13,80 m²</v>
      </c>
      <c r="C20" s="30">
        <f>OBSOLETO!R19</f>
        <v>12</v>
      </c>
      <c r="D20" s="30" t="str">
        <f>OBSOLETO!S19</f>
        <v>mês</v>
      </c>
      <c r="E20" s="927" t="s">
        <v>1157</v>
      </c>
      <c r="F20" s="928"/>
      <c r="G20" s="32">
        <v>771.09</v>
      </c>
      <c r="H20" s="33">
        <f>H18</f>
        <v>0.14012827909185233</v>
      </c>
      <c r="I20" s="218">
        <f t="shared" si="4"/>
        <v>108.05</v>
      </c>
      <c r="J20" s="313">
        <f t="shared" si="5"/>
        <v>10549.68</v>
      </c>
    </row>
    <row r="21" spans="1:12" ht="25.5">
      <c r="A21" s="413" t="str">
        <f>OBSOLETO!D20</f>
        <v>1.7</v>
      </c>
      <c r="B21" s="110" t="str">
        <f>OBSOLETO!E20</f>
        <v>Entrada de energia elétrica, aérea, trifásica, com caixa de sobrepor, cabo de 10 mm² e disjuntor DIN 50 A (não incluso o poste de concreto) - incluso o assentamento</v>
      </c>
      <c r="C21" s="30">
        <f>OBSOLETO!R20</f>
        <v>1</v>
      </c>
      <c r="D21" s="30" t="str">
        <f>OBSOLETO!S20</f>
        <v>Und</v>
      </c>
      <c r="E21" s="26">
        <v>101505</v>
      </c>
      <c r="F21" s="26" t="s">
        <v>28</v>
      </c>
      <c r="G21" s="32">
        <v>1836.99</v>
      </c>
      <c r="H21" s="33">
        <f>BDI!$E$19</f>
        <v>0.24117279049169804</v>
      </c>
      <c r="I21" s="218">
        <f t="shared" si="4"/>
        <v>443.03</v>
      </c>
      <c r="J21" s="313">
        <f t="shared" si="5"/>
        <v>2280.02</v>
      </c>
    </row>
    <row r="22" spans="1:12">
      <c r="A22" s="413" t="str">
        <f>OBSOLETO!D21</f>
        <v>1.8</v>
      </c>
      <c r="B22" s="110" t="str">
        <f>OBSOLETO!E21</f>
        <v>Poste de concreto duplo T, tipo B, 300 KG, H = 9 m (NBR 8451)</v>
      </c>
      <c r="C22" s="30">
        <f>OBSOLETO!R21</f>
        <v>1</v>
      </c>
      <c r="D22" s="30" t="str">
        <f>OBSOLETO!S21</f>
        <v>Und</v>
      </c>
      <c r="E22" s="26">
        <v>5033</v>
      </c>
      <c r="F22" s="26" t="s">
        <v>28</v>
      </c>
      <c r="G22" s="32">
        <v>794</v>
      </c>
      <c r="H22" s="42">
        <f>BDI!$E$35</f>
        <v>0.14012827909185233</v>
      </c>
      <c r="I22" s="218">
        <f t="shared" si="4"/>
        <v>111.26</v>
      </c>
      <c r="J22" s="313">
        <f t="shared" si="5"/>
        <v>905.26</v>
      </c>
    </row>
    <row r="23" spans="1:12">
      <c r="A23" s="413" t="str">
        <f>OBSOLETO!D22</f>
        <v>1.9</v>
      </c>
      <c r="B23" s="110" t="str">
        <f>OBSOLETO!E22</f>
        <v>Placa de identificação de obras</v>
      </c>
      <c r="C23" s="30">
        <f>OBSOLETO!R22</f>
        <v>24</v>
      </c>
      <c r="D23" s="30" t="str">
        <f>OBSOLETO!S22</f>
        <v>m²</v>
      </c>
      <c r="E23" s="111" t="s">
        <v>28</v>
      </c>
      <c r="F23" s="94">
        <v>70000002</v>
      </c>
      <c r="G23" s="391">
        <v>452.53</v>
      </c>
      <c r="H23" s="33">
        <v>0</v>
      </c>
      <c r="I23" s="218">
        <f t="shared" si="4"/>
        <v>0</v>
      </c>
      <c r="J23" s="313">
        <f t="shared" ref="J23" si="6">ROUND(IF(ISNUMBER(I23),C23*(G23+I23),C23*G23),2)</f>
        <v>10860.72</v>
      </c>
    </row>
    <row r="24" spans="1:12">
      <c r="A24" s="413" t="str">
        <f>OBSOLETO!D23</f>
        <v>1.10</v>
      </c>
      <c r="B24" s="110" t="str">
        <f>OBSOLETO!E23</f>
        <v>Técnico em Segurança do Trabalho com Encargos Complementares 8 h/dia x 22 dias/mês x 12 meses</v>
      </c>
      <c r="C24" s="30">
        <f>OBSOLETO!R23</f>
        <v>2112</v>
      </c>
      <c r="D24" s="30" t="str">
        <f>OBSOLETO!S23</f>
        <v>H</v>
      </c>
      <c r="E24" s="111">
        <v>100309</v>
      </c>
      <c r="F24" s="94" t="s">
        <v>28</v>
      </c>
      <c r="G24" s="391">
        <v>67.63</v>
      </c>
      <c r="H24" s="33">
        <f>H16</f>
        <v>0.24117279049169804</v>
      </c>
      <c r="I24" s="218">
        <f t="shared" ref="I24" si="7">ROUND(G24*H24,2)</f>
        <v>16.309999999999999</v>
      </c>
      <c r="J24" s="313">
        <f t="shared" ref="J24" si="8">ROUND(IF(ISNUMBER(I24),C24*(G24+I24),C24*G24),2)</f>
        <v>177281.28</v>
      </c>
    </row>
    <row r="25" spans="1:12">
      <c r="A25" s="27"/>
      <c r="B25" s="2" t="s">
        <v>190</v>
      </c>
      <c r="C25" s="30"/>
      <c r="D25" s="27"/>
      <c r="E25" s="26"/>
      <c r="F25" s="26"/>
      <c r="G25" s="28"/>
      <c r="H25" s="48"/>
      <c r="I25" s="219"/>
      <c r="J25" s="414">
        <f>SUM(J15:J24)</f>
        <v>272775.24</v>
      </c>
      <c r="K25" s="429"/>
      <c r="L25" s="319"/>
    </row>
    <row r="26" spans="1:12">
      <c r="A26" s="933"/>
      <c r="B26" s="934"/>
      <c r="C26" s="934"/>
      <c r="D26" s="934"/>
      <c r="E26" s="934"/>
      <c r="F26" s="934"/>
      <c r="G26" s="934"/>
      <c r="H26" s="934"/>
      <c r="I26" s="934"/>
      <c r="J26" s="935"/>
    </row>
    <row r="27" spans="1:12">
      <c r="A27" s="116"/>
      <c r="B27" s="116" t="str">
        <f>OBSOLETO!D25</f>
        <v>IMPLANTAÇÃO DO PROJETO DE SETORIZAÇÃO</v>
      </c>
      <c r="C27" s="116"/>
      <c r="D27" s="116"/>
      <c r="E27" s="116"/>
      <c r="F27" s="116"/>
      <c r="G27" s="116"/>
      <c r="H27" s="116"/>
      <c r="I27" s="116"/>
      <c r="J27" s="116"/>
    </row>
    <row r="28" spans="1:12">
      <c r="A28" s="411">
        <f>OBSOLETO!C27</f>
        <v>4</v>
      </c>
      <c r="B28" s="116" t="str">
        <f>OBSOLETO!D27</f>
        <v>Implantação do Macromedidor do poço existente, denominado Distrito Industrial II - P01 - Setor 01.</v>
      </c>
      <c r="C28" s="116"/>
      <c r="D28" s="116"/>
      <c r="E28" s="116"/>
      <c r="F28" s="116"/>
      <c r="G28" s="116"/>
      <c r="H28" s="116"/>
      <c r="I28" s="116"/>
      <c r="J28" s="412"/>
    </row>
    <row r="29" spans="1:12">
      <c r="A29" s="411" t="str">
        <f>OBSOLETO!C29</f>
        <v>4.1</v>
      </c>
      <c r="B29" s="116" t="str">
        <f>OBSOLETO!D29</f>
        <v>Manutenção e Reforma do reservatório metálico</v>
      </c>
      <c r="C29" s="107"/>
      <c r="D29" s="107"/>
      <c r="E29" s="107"/>
      <c r="F29" s="107"/>
      <c r="G29" s="107"/>
      <c r="H29" s="107"/>
      <c r="I29" s="107"/>
      <c r="J29" s="417"/>
    </row>
    <row r="30" spans="1:12">
      <c r="A30" s="413" t="str">
        <f>OBSOLETO!D30</f>
        <v>4.1.1</v>
      </c>
      <c r="B30" s="109" t="str">
        <f>OBSOLETO!E30</f>
        <v>Engenheiro Mecânico - MPO - Anexo XIV  8 h/dia x 2 dias (avaliação da estrutura do reservatório metálico)</v>
      </c>
      <c r="C30" s="30">
        <f>OBSOLETO!R30</f>
        <v>16</v>
      </c>
      <c r="D30" s="27" t="str">
        <f>OBSOLETO!S30</f>
        <v>H</v>
      </c>
      <c r="E30" s="27" t="s">
        <v>28</v>
      </c>
      <c r="F30" s="26" t="s">
        <v>28</v>
      </c>
      <c r="G30" s="32">
        <f>5*34.26</f>
        <v>171.29999999999998</v>
      </c>
      <c r="H30" s="33">
        <v>0</v>
      </c>
      <c r="I30" s="218">
        <f t="shared" ref="I30" si="9">ROUND(G30*H30,2)</f>
        <v>0</v>
      </c>
      <c r="J30" s="313">
        <f t="shared" ref="J30" si="10">ROUND(IF(ISNUMBER(I30),C30*(G30+I30),C30*G30),2)</f>
        <v>2740.8</v>
      </c>
    </row>
    <row r="31" spans="1:12">
      <c r="A31" s="413" t="str">
        <f>OBSOLETO!D31</f>
        <v>4.1.2</v>
      </c>
      <c r="B31" s="109" t="str">
        <f>OBSOLETO!E31</f>
        <v>Consultor Externo 8 h/dia x 2 dias</v>
      </c>
      <c r="C31" s="30">
        <f>OBSOLETO!R31</f>
        <v>16</v>
      </c>
      <c r="D31" s="27" t="str">
        <f>OBSOLETO!S31</f>
        <v>H</v>
      </c>
      <c r="E31" s="27">
        <v>74000080</v>
      </c>
      <c r="F31" s="26" t="s">
        <v>28</v>
      </c>
      <c r="G31" s="32">
        <v>437.66</v>
      </c>
      <c r="H31" s="33">
        <v>0</v>
      </c>
      <c r="I31" s="218">
        <f t="shared" ref="I31" si="11">ROUND(G31*H31,2)</f>
        <v>0</v>
      </c>
      <c r="J31" s="313">
        <f t="shared" ref="J31" si="12">ROUND(IF(ISNUMBER(I31),C31*(G31+I31),C31*G31),2)</f>
        <v>7002.56</v>
      </c>
    </row>
    <row r="32" spans="1:12">
      <c r="A32" s="413" t="s">
        <v>719</v>
      </c>
      <c r="B32" s="109" t="s">
        <v>1440</v>
      </c>
      <c r="C32" s="30">
        <v>1</v>
      </c>
      <c r="D32" s="27" t="s">
        <v>245</v>
      </c>
      <c r="E32" s="954" t="s">
        <v>183</v>
      </c>
      <c r="F32" s="955"/>
      <c r="G32" s="32" t="e">
        <f>0.6*#REF!</f>
        <v>#REF!</v>
      </c>
      <c r="H32" s="33">
        <f>BDI!$E$35</f>
        <v>0.14012827909185233</v>
      </c>
      <c r="I32" s="218" t="e">
        <f t="shared" ref="I32" si="13">ROUND(G32*H32,2)</f>
        <v>#REF!</v>
      </c>
      <c r="J32" s="313" t="e">
        <f t="shared" ref="J32" si="14">ROUND(IF(ISNUMBER(I32),C32*(G32+I32),C32*G32),2)</f>
        <v>#REF!</v>
      </c>
    </row>
    <row r="33" spans="1:11">
      <c r="A33" s="411" t="s">
        <v>204</v>
      </c>
      <c r="B33" s="112" t="s">
        <v>356</v>
      </c>
      <c r="C33" s="113"/>
      <c r="D33" s="113"/>
      <c r="E33" s="113"/>
      <c r="F33" s="113"/>
      <c r="G33" s="113"/>
      <c r="H33" s="113"/>
      <c r="I33" s="214"/>
      <c r="J33" s="418"/>
    </row>
    <row r="34" spans="1:11">
      <c r="A34" s="27" t="s">
        <v>273</v>
      </c>
      <c r="B34" s="47" t="s">
        <v>753</v>
      </c>
      <c r="C34" s="30">
        <v>1</v>
      </c>
      <c r="D34" s="27" t="s">
        <v>987</v>
      </c>
      <c r="E34" s="936" t="s">
        <v>183</v>
      </c>
      <c r="F34" s="937"/>
      <c r="G34" s="255" t="e">
        <f>#REF!</f>
        <v>#REF!</v>
      </c>
      <c r="H34" s="42">
        <f>BDI!$E$35</f>
        <v>0.14012827909185233</v>
      </c>
      <c r="I34" s="217" t="e">
        <f t="shared" ref="I34" si="15">ROUND(G34*H34,2)</f>
        <v>#REF!</v>
      </c>
      <c r="J34" s="313" t="e">
        <f t="shared" ref="J34:J35" si="16">ROUND(IF(ISNUMBER(I34),C34*(G34+I34),C34*G34),2)</f>
        <v>#REF!</v>
      </c>
      <c r="K34" s="319"/>
    </row>
    <row r="35" spans="1:11">
      <c r="A35" s="27" t="s">
        <v>375</v>
      </c>
      <c r="B35" s="47" t="s">
        <v>736</v>
      </c>
      <c r="C35" s="30">
        <v>2</v>
      </c>
      <c r="D35" s="27" t="s">
        <v>987</v>
      </c>
      <c r="E35" s="936" t="s">
        <v>183</v>
      </c>
      <c r="F35" s="937"/>
      <c r="G35" s="255" t="e">
        <f>#REF!</f>
        <v>#REF!</v>
      </c>
      <c r="H35" s="42">
        <f>BDI!$E$35</f>
        <v>0.14012827909185233</v>
      </c>
      <c r="I35" s="217" t="e">
        <f t="shared" ref="I35:I37" si="17">ROUND(G35*H35,2)</f>
        <v>#REF!</v>
      </c>
      <c r="J35" s="313" t="e">
        <f t="shared" si="16"/>
        <v>#REF!</v>
      </c>
    </row>
    <row r="36" spans="1:11">
      <c r="A36" s="27" t="s">
        <v>376</v>
      </c>
      <c r="B36" s="47" t="s">
        <v>737</v>
      </c>
      <c r="C36" s="30">
        <v>2</v>
      </c>
      <c r="D36" s="27" t="s">
        <v>987</v>
      </c>
      <c r="E36" s="936" t="s">
        <v>183</v>
      </c>
      <c r="F36" s="937"/>
      <c r="G36" s="255" t="e">
        <f>#REF!</f>
        <v>#REF!</v>
      </c>
      <c r="H36" s="42">
        <f>BDI!$E$35</f>
        <v>0.14012827909185233</v>
      </c>
      <c r="I36" s="217" t="e">
        <f t="shared" si="17"/>
        <v>#REF!</v>
      </c>
      <c r="J36" s="313" t="e">
        <f t="shared" ref="J36:J37" si="18">ROUND(IF(ISNUMBER(I36),C36*(G36+I36),C36*G36),2)</f>
        <v>#REF!</v>
      </c>
    </row>
    <row r="37" spans="1:11">
      <c r="A37" s="27" t="s">
        <v>377</v>
      </c>
      <c r="B37" s="47" t="s">
        <v>738</v>
      </c>
      <c r="C37" s="30">
        <v>2</v>
      </c>
      <c r="D37" s="27" t="s">
        <v>987</v>
      </c>
      <c r="E37" s="26" t="s">
        <v>28</v>
      </c>
      <c r="F37" s="26" t="s">
        <v>739</v>
      </c>
      <c r="G37" s="255">
        <v>188.96</v>
      </c>
      <c r="H37" s="42">
        <v>0</v>
      </c>
      <c r="I37" s="217">
        <f t="shared" si="17"/>
        <v>0</v>
      </c>
      <c r="J37" s="313">
        <f t="shared" si="18"/>
        <v>377.92</v>
      </c>
    </row>
    <row r="38" spans="1:11">
      <c r="A38" s="27" t="s">
        <v>378</v>
      </c>
      <c r="B38" s="47" t="s">
        <v>761</v>
      </c>
      <c r="C38" s="30">
        <v>2</v>
      </c>
      <c r="D38" s="27" t="s">
        <v>987</v>
      </c>
      <c r="E38" s="26" t="s">
        <v>28</v>
      </c>
      <c r="F38" s="26" t="s">
        <v>740</v>
      </c>
      <c r="G38" s="255">
        <v>20.57</v>
      </c>
      <c r="H38" s="42">
        <v>0</v>
      </c>
      <c r="I38" s="217">
        <f t="shared" ref="I38" si="19">ROUND(G38*H38,2)</f>
        <v>0</v>
      </c>
      <c r="J38" s="313">
        <f t="shared" ref="J38" si="20">ROUND(IF(ISNUMBER(I38),C38*(G38+I38),C38*G38),2)</f>
        <v>41.14</v>
      </c>
    </row>
    <row r="39" spans="1:11">
      <c r="A39" s="411" t="str">
        <f>OBSOLETO!C33</f>
        <v>4.3</v>
      </c>
      <c r="B39" s="112" t="str">
        <f>OBSOLETO!D33</f>
        <v>Instalação do Macromedidor do Poço - Mão de Obra</v>
      </c>
      <c r="C39" s="113"/>
      <c r="D39" s="113"/>
      <c r="E39" s="113"/>
      <c r="F39" s="113"/>
      <c r="G39" s="113"/>
      <c r="H39" s="113"/>
      <c r="I39" s="214"/>
      <c r="J39" s="418"/>
    </row>
    <row r="40" spans="1:11">
      <c r="A40" s="413" t="str">
        <f>OBSOLETO!D34</f>
        <v>4.3.1</v>
      </c>
      <c r="B40" s="109" t="str">
        <f>OBSOLETO!E34</f>
        <v>Engenheiro Civil de obras com Encargos Complementares - 4h/dia x 2 dias</v>
      </c>
      <c r="C40" s="30">
        <v>8</v>
      </c>
      <c r="D40" s="27" t="s">
        <v>352</v>
      </c>
      <c r="E40" s="26" t="s">
        <v>1111</v>
      </c>
      <c r="F40" s="26" t="s">
        <v>28</v>
      </c>
      <c r="G40" s="32">
        <v>127.08</v>
      </c>
      <c r="H40" s="33">
        <f>BDI!$E$19</f>
        <v>0.24117279049169804</v>
      </c>
      <c r="I40" s="218">
        <f t="shared" ref="I40:I44" si="21">ROUND(G40*H40,2)</f>
        <v>30.65</v>
      </c>
      <c r="J40" s="313">
        <f t="shared" ref="J40:J44" si="22">ROUND(IF(ISNUMBER(I40),C40*(G40+I40),C40*G40),2)</f>
        <v>1261.8399999999999</v>
      </c>
    </row>
    <row r="41" spans="1:11">
      <c r="A41" s="413" t="str">
        <f>OBSOLETO!D35</f>
        <v>4.3.2</v>
      </c>
      <c r="B41" s="109" t="str">
        <f>OBSOLETO!E35</f>
        <v>Encarregado Geral com Encargos Complementares - 8 h/dia x 2 dias</v>
      </c>
      <c r="C41" s="30">
        <v>16</v>
      </c>
      <c r="D41" s="27" t="s">
        <v>352</v>
      </c>
      <c r="E41" s="26" t="s">
        <v>1113</v>
      </c>
      <c r="F41" s="26" t="s">
        <v>28</v>
      </c>
      <c r="G41" s="32">
        <v>38.46</v>
      </c>
      <c r="H41" s="33">
        <f>BDI!$E$19</f>
        <v>0.24117279049169804</v>
      </c>
      <c r="I41" s="218">
        <f t="shared" ref="I41" si="23">ROUND(G41*H41,2)</f>
        <v>9.2799999999999994</v>
      </c>
      <c r="J41" s="313">
        <f t="shared" ref="J41" si="24">ROUND(IF(ISNUMBER(I41),C41*(G41+I41),C41*G41),2)</f>
        <v>763.84</v>
      </c>
    </row>
    <row r="42" spans="1:11">
      <c r="A42" s="413" t="str">
        <f>OBSOLETO!D36</f>
        <v>4.3.3</v>
      </c>
      <c r="B42" s="109" t="str">
        <f>OBSOLETO!E36</f>
        <v>Encanador com Encargos Complementares 8 h/dia x 2 dias x 1 profiss.</v>
      </c>
      <c r="C42" s="30">
        <v>16</v>
      </c>
      <c r="D42" s="27" t="s">
        <v>352</v>
      </c>
      <c r="E42" s="26" t="s">
        <v>1115</v>
      </c>
      <c r="F42" s="26" t="s">
        <v>28</v>
      </c>
      <c r="G42" s="32">
        <v>32.049999999999997</v>
      </c>
      <c r="H42" s="33">
        <f>BDI!$E$19</f>
        <v>0.24117279049169804</v>
      </c>
      <c r="I42" s="218">
        <f t="shared" ref="I42" si="25">ROUND(G42*H42,2)</f>
        <v>7.73</v>
      </c>
      <c r="J42" s="313">
        <f t="shared" ref="J42" si="26">ROUND(IF(ISNUMBER(I42),C42*(G42+I42),C42*G42),2)</f>
        <v>636.48</v>
      </c>
    </row>
    <row r="43" spans="1:11">
      <c r="A43" s="413" t="str">
        <f>OBSOLETO!D37</f>
        <v>4.3.4</v>
      </c>
      <c r="B43" s="109" t="str">
        <f>OBSOLETO!E37</f>
        <v>Auxiliar de encanador com Encargos Complementares 8 h/dia x 2 dias x 1 profiss.</v>
      </c>
      <c r="C43" s="30">
        <v>16</v>
      </c>
      <c r="D43" s="27" t="s">
        <v>352</v>
      </c>
      <c r="E43" s="26" t="s">
        <v>1117</v>
      </c>
      <c r="F43" s="26" t="s">
        <v>28</v>
      </c>
      <c r="G43" s="32">
        <v>27.57</v>
      </c>
      <c r="H43" s="33">
        <f>BDI!$E$19</f>
        <v>0.24117279049169804</v>
      </c>
      <c r="I43" s="218">
        <f t="shared" ref="I43" si="27">ROUND(G43*H43,2)</f>
        <v>6.65</v>
      </c>
      <c r="J43" s="313">
        <f t="shared" ref="J43" si="28">ROUND(IF(ISNUMBER(I43),C43*(G43+I43),C43*G43),2)</f>
        <v>547.52</v>
      </c>
    </row>
    <row r="44" spans="1:11">
      <c r="A44" s="413">
        <f>OBSOLETO!D38</f>
        <v>0</v>
      </c>
      <c r="B44" s="109">
        <f>OBSOLETO!E38</f>
        <v>0</v>
      </c>
      <c r="C44" s="30">
        <v>16</v>
      </c>
      <c r="D44" s="27" t="s">
        <v>352</v>
      </c>
      <c r="E44" s="26" t="s">
        <v>1118</v>
      </c>
      <c r="F44" s="26" t="s">
        <v>28</v>
      </c>
      <c r="G44" s="32">
        <v>26.82</v>
      </c>
      <c r="H44" s="33">
        <f>BDI!$E$19</f>
        <v>0.24117279049169804</v>
      </c>
      <c r="I44" s="218">
        <f t="shared" si="21"/>
        <v>6.47</v>
      </c>
      <c r="J44" s="313">
        <f t="shared" si="22"/>
        <v>532.64</v>
      </c>
    </row>
    <row r="45" spans="1:11">
      <c r="A45" s="411" t="str">
        <f>OBSOLETO!C40</f>
        <v>4.4</v>
      </c>
      <c r="B45" s="112" t="str">
        <f>OBSOLETO!D40</f>
        <v>Aferição e Calibração de Macromedidor com equipamento do tipo ultrassônico</v>
      </c>
      <c r="C45" s="113"/>
      <c r="D45" s="113"/>
      <c r="E45" s="113"/>
      <c r="F45" s="113"/>
      <c r="G45" s="113"/>
      <c r="H45" s="113"/>
      <c r="I45" s="214"/>
      <c r="J45" s="418"/>
    </row>
    <row r="46" spans="1:11">
      <c r="A46" s="413" t="str">
        <f>OBSOLETO!D41</f>
        <v>4.4.1</v>
      </c>
      <c r="B46" s="109" t="str">
        <f>OBSOLETO!E41</f>
        <v>Engenheiro Civil de obras com Encargos Complementares - 4h/dia x 2 dias</v>
      </c>
      <c r="C46" s="30">
        <f>OBSOLETO!R41</f>
        <v>8</v>
      </c>
      <c r="D46" s="27" t="str">
        <f>OBSOLETO!S41</f>
        <v>H</v>
      </c>
      <c r="E46" s="26" t="s">
        <v>1111</v>
      </c>
      <c r="F46" s="26" t="s">
        <v>28</v>
      </c>
      <c r="G46" s="32">
        <f>G40</f>
        <v>127.08</v>
      </c>
      <c r="H46" s="33">
        <f>BDI!$E$19</f>
        <v>0.24117279049169804</v>
      </c>
      <c r="I46" s="218">
        <f t="shared" ref="I46:I48" si="29">ROUND(G46*H46,2)</f>
        <v>30.65</v>
      </c>
      <c r="J46" s="313">
        <f t="shared" ref="J46:J48" si="30">ROUND(IF(ISNUMBER(I46),C46*(G46+I46),C46*G46),2)</f>
        <v>1261.8399999999999</v>
      </c>
    </row>
    <row r="47" spans="1:11">
      <c r="A47" s="413" t="str">
        <f>OBSOLETO!D42</f>
        <v>4.4.2</v>
      </c>
      <c r="B47" s="109" t="str">
        <f>OBSOLETO!E42</f>
        <v>Encanador com Encargos Complementares 8 h/dia x 2 dias x 1 profiss.</v>
      </c>
      <c r="C47" s="30">
        <f>OBSOLETO!R42</f>
        <v>16</v>
      </c>
      <c r="D47" s="27" t="str">
        <f>OBSOLETO!S42</f>
        <v>H</v>
      </c>
      <c r="E47" s="26" t="s">
        <v>1115</v>
      </c>
      <c r="F47" s="26" t="s">
        <v>28</v>
      </c>
      <c r="G47" s="32">
        <f>G42</f>
        <v>32.049999999999997</v>
      </c>
      <c r="H47" s="33">
        <f>BDI!$E$19</f>
        <v>0.24117279049169804</v>
      </c>
      <c r="I47" s="218">
        <f t="shared" si="29"/>
        <v>7.73</v>
      </c>
      <c r="J47" s="313">
        <f t="shared" si="30"/>
        <v>636.48</v>
      </c>
    </row>
    <row r="48" spans="1:11">
      <c r="A48" s="413" t="str">
        <f>OBSOLETO!D43</f>
        <v>4.4.3</v>
      </c>
      <c r="B48" s="109" t="str">
        <f>OBSOLETO!E43</f>
        <v>Auxiliar de encanador com Encargos Complementares 8 h/dia x 2 dias x 1 profiss.</v>
      </c>
      <c r="C48" s="30">
        <f>OBSOLETO!R43</f>
        <v>16</v>
      </c>
      <c r="D48" s="27" t="str">
        <f>OBSOLETO!S43</f>
        <v>H</v>
      </c>
      <c r="E48" s="26" t="s">
        <v>1117</v>
      </c>
      <c r="F48" s="26" t="s">
        <v>28</v>
      </c>
      <c r="G48" s="32">
        <f>G43</f>
        <v>27.57</v>
      </c>
      <c r="H48" s="33">
        <f>BDI!$E$19</f>
        <v>0.24117279049169804</v>
      </c>
      <c r="I48" s="218">
        <f t="shared" si="29"/>
        <v>6.65</v>
      </c>
      <c r="J48" s="313">
        <f t="shared" si="30"/>
        <v>547.52</v>
      </c>
    </row>
    <row r="49" spans="1:10">
      <c r="A49" s="27"/>
      <c r="B49" s="2" t="s">
        <v>246</v>
      </c>
      <c r="C49" s="30"/>
      <c r="D49" s="27"/>
      <c r="E49" s="26"/>
      <c r="F49" s="26"/>
      <c r="G49" s="28"/>
      <c r="H49" s="48"/>
      <c r="I49" s="219"/>
      <c r="J49" s="414" t="e">
        <f>SUM(J30:J48)</f>
        <v>#REF!</v>
      </c>
    </row>
    <row r="50" spans="1:10">
      <c r="A50" s="933"/>
      <c r="B50" s="934"/>
      <c r="C50" s="934"/>
      <c r="D50" s="934"/>
      <c r="E50" s="934"/>
      <c r="F50" s="934"/>
      <c r="G50" s="934"/>
      <c r="H50" s="934"/>
      <c r="I50" s="934"/>
      <c r="J50" s="935"/>
    </row>
    <row r="51" spans="1:10">
      <c r="A51" s="411">
        <f>OBSOLETO!C46</f>
        <v>5</v>
      </c>
      <c r="B51" s="116" t="str">
        <f>OBSOLETO!D46</f>
        <v>Implantação do Setor 02 - Gaivotas</v>
      </c>
      <c r="C51" s="116"/>
      <c r="D51" s="116"/>
      <c r="E51" s="116"/>
      <c r="F51" s="116"/>
      <c r="G51" s="116"/>
      <c r="H51" s="116"/>
      <c r="I51" s="116"/>
      <c r="J51" s="412"/>
    </row>
    <row r="52" spans="1:10">
      <c r="A52" s="411" t="str">
        <f>OBSOLETO!C53</f>
        <v>5.1</v>
      </c>
      <c r="B52" s="116" t="str">
        <f>OBSOLETO!D53</f>
        <v>Sinalização</v>
      </c>
      <c r="C52" s="107"/>
      <c r="D52" s="107"/>
      <c r="E52" s="107"/>
      <c r="F52" s="107"/>
      <c r="G52" s="107"/>
      <c r="H52" s="107"/>
      <c r="I52" s="107"/>
      <c r="J52" s="417"/>
    </row>
    <row r="53" spans="1:10">
      <c r="A53" s="27" t="str">
        <f>OBSOLETO!D54</f>
        <v>5.1.1</v>
      </c>
      <c r="B53" s="108" t="str">
        <f>OBSOLETO!E54</f>
        <v>Sinalização de tráfego com cerquite</v>
      </c>
      <c r="C53" s="89">
        <f>OBSOLETO!R54</f>
        <v>24</v>
      </c>
      <c r="D53" s="90" t="str">
        <f>OBSOLETO!S54</f>
        <v>m</v>
      </c>
      <c r="E53" s="91" t="s">
        <v>28</v>
      </c>
      <c r="F53" s="114">
        <v>70020005</v>
      </c>
      <c r="G53" s="32">
        <v>3.46</v>
      </c>
      <c r="H53" s="92">
        <v>0</v>
      </c>
      <c r="I53" s="213">
        <f t="shared" ref="I53:I65" si="31">ROUND(G53*H53,2)</f>
        <v>0</v>
      </c>
      <c r="J53" s="313">
        <f t="shared" ref="J53:J54" si="32">ROUND(IF(ISNUMBER(I53),C53*(G53+I53),C53*G53),2)</f>
        <v>83.04</v>
      </c>
    </row>
    <row r="54" spans="1:10">
      <c r="A54" s="27" t="str">
        <f>OBSOLETO!D55</f>
        <v>5.1.2</v>
      </c>
      <c r="B54" s="108" t="str">
        <f>OBSOLETO!E55</f>
        <v>Sinalização luminosa para obras</v>
      </c>
      <c r="C54" s="89">
        <f>OBSOLETO!R55</f>
        <v>24</v>
      </c>
      <c r="D54" s="90" t="str">
        <f>OBSOLETO!S55</f>
        <v>m</v>
      </c>
      <c r="E54" s="91" t="s">
        <v>28</v>
      </c>
      <c r="F54" s="90">
        <v>70020001</v>
      </c>
      <c r="G54" s="32">
        <v>4.97</v>
      </c>
      <c r="H54" s="92">
        <v>0</v>
      </c>
      <c r="I54" s="213">
        <f t="shared" si="31"/>
        <v>0</v>
      </c>
      <c r="J54" s="313">
        <f t="shared" si="32"/>
        <v>119.28</v>
      </c>
    </row>
    <row r="55" spans="1:10">
      <c r="A55" s="411" t="s">
        <v>248</v>
      </c>
      <c r="B55" s="112" t="s">
        <v>427</v>
      </c>
      <c r="C55" s="113"/>
      <c r="D55" s="113"/>
      <c r="E55" s="113"/>
      <c r="F55" s="113"/>
      <c r="G55" s="113"/>
      <c r="H55" s="113"/>
      <c r="I55" s="214"/>
      <c r="J55" s="418"/>
    </row>
    <row r="56" spans="1:10">
      <c r="A56" s="27" t="str">
        <f>OBSOLETO!D60</f>
        <v>5.2.1</v>
      </c>
      <c r="B56" s="25" t="str">
        <f>OBSOLETO!E60</f>
        <v xml:space="preserve">Definição e demarcação da área de reparo com disco de corte </v>
      </c>
      <c r="C56" s="30">
        <f>OBSOLETO!R63</f>
        <v>24</v>
      </c>
      <c r="D56" s="27" t="str">
        <f>OBSOLETO!S63</f>
        <v>m</v>
      </c>
      <c r="E56" s="26" t="s">
        <v>28</v>
      </c>
      <c r="F56" s="26" t="s">
        <v>94</v>
      </c>
      <c r="G56" s="28">
        <v>7.51</v>
      </c>
      <c r="H56" s="33">
        <v>0</v>
      </c>
      <c r="I56" s="213">
        <f t="shared" si="31"/>
        <v>0</v>
      </c>
      <c r="J56" s="313">
        <f t="shared" ref="J56:J65" si="33">ROUND(IF(ISNUMBER(I56),C56*(G56+I56),C56*G56),2)</f>
        <v>180.24</v>
      </c>
    </row>
    <row r="57" spans="1:10">
      <c r="A57" s="27" t="str">
        <f>OBSOLETO!D66</f>
        <v>5.2.2</v>
      </c>
      <c r="B57" s="25" t="str">
        <f>OBSOLETO!E66</f>
        <v>Demolição de Pavimentação Asfáltica com utilização de martelo perfurador, espessura até 15cm, exclusive carga e transporte</v>
      </c>
      <c r="C57" s="30">
        <f>OBSOLETO!R69</f>
        <v>12</v>
      </c>
      <c r="D57" s="27" t="str">
        <f>OBSOLETO!S69</f>
        <v>m²</v>
      </c>
      <c r="E57" s="26" t="s">
        <v>116</v>
      </c>
      <c r="F57" s="26" t="s">
        <v>28</v>
      </c>
      <c r="G57" s="28">
        <v>19.64</v>
      </c>
      <c r="H57" s="33">
        <f>BDI!$E$19</f>
        <v>0.24117279049169804</v>
      </c>
      <c r="I57" s="213">
        <f t="shared" si="31"/>
        <v>4.74</v>
      </c>
      <c r="J57" s="313">
        <f t="shared" si="33"/>
        <v>292.56</v>
      </c>
    </row>
    <row r="58" spans="1:10">
      <c r="A58" s="27" t="str">
        <f>OBSOLETO!D72</f>
        <v>5.2.3</v>
      </c>
      <c r="B58" s="25" t="str">
        <f>OBSOLETO!E72</f>
        <v>Remoção de entulho inclusive a carga, transporte e descarga em bota fora a qualquer distância</v>
      </c>
      <c r="C58" s="30">
        <f>OBSOLETO!R74</f>
        <v>0.6</v>
      </c>
      <c r="D58" s="27" t="str">
        <f>OBSOLETO!S74</f>
        <v>m³</v>
      </c>
      <c r="E58" s="26" t="s">
        <v>28</v>
      </c>
      <c r="F58" s="26" t="s">
        <v>95</v>
      </c>
      <c r="G58" s="28">
        <v>136.94999999999999</v>
      </c>
      <c r="H58" s="33">
        <v>0</v>
      </c>
      <c r="I58" s="224">
        <f t="shared" si="31"/>
        <v>0</v>
      </c>
      <c r="J58" s="313">
        <f t="shared" si="33"/>
        <v>82.17</v>
      </c>
    </row>
    <row r="59" spans="1:10" ht="25.5">
      <c r="A59" s="27" t="str">
        <f>OBSOLETO!D77</f>
        <v>5.2.4</v>
      </c>
      <c r="B59" s="121" t="str">
        <f>OBSOLETO!E77</f>
        <v>Retroescavadeira sobre rodas com carregadeira, Tração 4X4, Potência LÍQ. 88 HP, Caçamba Carreg. Cap. Mín. 1 m³, Caçamba Retro Cap. 0,26 m³, peso operacional mín. 6.674 KG, profundidade de escavação máx. 4,37 m</v>
      </c>
      <c r="C59" s="85">
        <f>OBSOLETO!R79</f>
        <v>21</v>
      </c>
      <c r="D59" s="90" t="str">
        <f>OBSOLETO!S79</f>
        <v>CHP</v>
      </c>
      <c r="E59" s="26" t="s">
        <v>1165</v>
      </c>
      <c r="F59" s="91" t="s">
        <v>28</v>
      </c>
      <c r="G59" s="389">
        <v>153.33000000000001</v>
      </c>
      <c r="H59" s="33">
        <f>BDI!$E$19</f>
        <v>0.24117279049169804</v>
      </c>
      <c r="I59" s="224">
        <f t="shared" si="31"/>
        <v>36.979999999999997</v>
      </c>
      <c r="J59" s="313">
        <f t="shared" si="33"/>
        <v>3996.51</v>
      </c>
    </row>
    <row r="60" spans="1:10" ht="25.5">
      <c r="A60" s="27" t="str">
        <f>OBSOLETO!D82</f>
        <v>5.2.5</v>
      </c>
      <c r="B60" s="121" t="str">
        <f>OBSOLETO!E82</f>
        <v>Retroescavadeira sobre rodas com carregadeira, Tração 4X4, Potência LÍQ. 88 HP, Caçamba Carreg. Cap. Mín. 1 m³, Caçamba Retro Cap. 0,26 m³, peso operacional mín. 6.674 KG, profundidade de escavação máx. 4,37 m</v>
      </c>
      <c r="C60" s="85">
        <f>OBSOLETO!R84</f>
        <v>9</v>
      </c>
      <c r="D60" s="90" t="str">
        <f>OBSOLETO!S84</f>
        <v>CHI</v>
      </c>
      <c r="E60" s="26" t="s">
        <v>1166</v>
      </c>
      <c r="F60" s="91" t="s">
        <v>28</v>
      </c>
      <c r="G60" s="389">
        <v>65.69</v>
      </c>
      <c r="H60" s="33">
        <f>BDI!$E$19</f>
        <v>0.24117279049169804</v>
      </c>
      <c r="I60" s="213">
        <f t="shared" ref="I60" si="34">ROUND(G60*H60,2)</f>
        <v>15.84</v>
      </c>
      <c r="J60" s="313">
        <f t="shared" si="33"/>
        <v>733.77</v>
      </c>
    </row>
    <row r="61" spans="1:10">
      <c r="A61" s="27" t="str">
        <f>OBSOLETO!D87</f>
        <v>5.2.6</v>
      </c>
      <c r="B61" s="121" t="str">
        <f>OBSOLETO!E87</f>
        <v>Escoramento Contínuo</v>
      </c>
      <c r="C61" s="85">
        <f>OBSOLETO!R92</f>
        <v>36</v>
      </c>
      <c r="D61" s="90" t="str">
        <f>OBSOLETO!S92</f>
        <v>m²</v>
      </c>
      <c r="E61" s="26" t="s">
        <v>1335</v>
      </c>
      <c r="F61" s="91" t="s">
        <v>28</v>
      </c>
      <c r="G61" s="389">
        <v>97.45</v>
      </c>
      <c r="H61" s="33">
        <f>H60</f>
        <v>0.24117279049169804</v>
      </c>
      <c r="I61" s="213">
        <f t="shared" ref="I61" si="35">ROUND(G61*H61,2)</f>
        <v>23.5</v>
      </c>
      <c r="J61" s="313">
        <f t="shared" ref="J61" si="36">ROUND(IF(ISNUMBER(I61),C61*(G61+I61),C61*G61),2)</f>
        <v>4354.2</v>
      </c>
    </row>
    <row r="62" spans="1:10">
      <c r="A62" s="27" t="str">
        <f>OBSOLETO!D95</f>
        <v>5.2.7</v>
      </c>
      <c r="B62" s="25" t="str">
        <f>OBSOLETO!E95</f>
        <v>Reaterro mecanizado de vala</v>
      </c>
      <c r="C62" s="30">
        <f>OBSOLETO!R97</f>
        <v>18</v>
      </c>
      <c r="D62" s="27" t="str">
        <f>OBSOLETO!S97</f>
        <v>m³</v>
      </c>
      <c r="E62" s="26" t="s">
        <v>1401</v>
      </c>
      <c r="F62" s="26" t="s">
        <v>28</v>
      </c>
      <c r="G62" s="28">
        <v>24.08</v>
      </c>
      <c r="H62" s="33">
        <f>BDI!$E$19</f>
        <v>0.24117279049169804</v>
      </c>
      <c r="I62" s="213">
        <f t="shared" si="31"/>
        <v>5.81</v>
      </c>
      <c r="J62" s="313">
        <f t="shared" si="33"/>
        <v>538.02</v>
      </c>
    </row>
    <row r="63" spans="1:10">
      <c r="A63" s="27" t="str">
        <f>OBSOLETO!D101</f>
        <v>5.2.8</v>
      </c>
      <c r="B63" s="25" t="str">
        <f>OBSOLETO!E101</f>
        <v>Sub-base em brita ou macadame hidráulico (B)</v>
      </c>
      <c r="C63" s="30">
        <f>OBSOLETO!R104</f>
        <v>1.8</v>
      </c>
      <c r="D63" s="27" t="str">
        <f>OBSOLETO!S104</f>
        <v>m³</v>
      </c>
      <c r="E63" s="26" t="s">
        <v>28</v>
      </c>
      <c r="F63" s="26" t="s">
        <v>97</v>
      </c>
      <c r="G63" s="28">
        <v>170.15</v>
      </c>
      <c r="H63" s="33">
        <v>0</v>
      </c>
      <c r="I63" s="213">
        <f t="shared" si="31"/>
        <v>0</v>
      </c>
      <c r="J63" s="313">
        <f t="shared" si="33"/>
        <v>306.27</v>
      </c>
    </row>
    <row r="64" spans="1:10">
      <c r="A64" s="27" t="str">
        <f>OBSOLETO!D107</f>
        <v>5.2.9</v>
      </c>
      <c r="B64" s="35" t="str">
        <f>OBSOLETO!E107</f>
        <v>Pintura de ligação em emulsão RR-2C</v>
      </c>
      <c r="C64" s="85">
        <f>OBSOLETO!R109</f>
        <v>12</v>
      </c>
      <c r="D64" s="34" t="str">
        <f>OBSOLETO!S109</f>
        <v>m²</v>
      </c>
      <c r="E64" s="26" t="s">
        <v>28</v>
      </c>
      <c r="F64" s="26" t="s">
        <v>122</v>
      </c>
      <c r="G64" s="28">
        <v>20.74</v>
      </c>
      <c r="H64" s="33">
        <v>0</v>
      </c>
      <c r="I64" s="213">
        <f t="shared" si="31"/>
        <v>0</v>
      </c>
      <c r="J64" s="313">
        <f t="shared" si="33"/>
        <v>248.88</v>
      </c>
    </row>
    <row r="65" spans="1:10">
      <c r="A65" s="27" t="str">
        <f>OBSOLETO!D112</f>
        <v>5.2.10</v>
      </c>
      <c r="B65" s="25" t="str">
        <f>OBSOLETO!E112</f>
        <v>Capa de concreto asfáltico (B) (e=5cm)</v>
      </c>
      <c r="C65" s="30">
        <f>OBSOLETO!R114</f>
        <v>0.6</v>
      </c>
      <c r="D65" s="27" t="str">
        <f>OBSOLETO!S114</f>
        <v>m³</v>
      </c>
      <c r="E65" s="26" t="s">
        <v>28</v>
      </c>
      <c r="F65" s="26" t="s">
        <v>98</v>
      </c>
      <c r="G65" s="28">
        <v>2117.17</v>
      </c>
      <c r="H65" s="33">
        <v>0</v>
      </c>
      <c r="I65" s="213">
        <f t="shared" si="31"/>
        <v>0</v>
      </c>
      <c r="J65" s="313">
        <f t="shared" si="33"/>
        <v>1270.3</v>
      </c>
    </row>
    <row r="66" spans="1:10">
      <c r="A66" s="411" t="s">
        <v>249</v>
      </c>
      <c r="B66" s="112" t="s">
        <v>1141</v>
      </c>
      <c r="C66" s="113"/>
      <c r="D66" s="113"/>
      <c r="E66" s="113"/>
      <c r="F66" s="113"/>
      <c r="G66" s="113"/>
      <c r="H66" s="113"/>
      <c r="I66" s="214"/>
      <c r="J66" s="418"/>
    </row>
    <row r="67" spans="1:10">
      <c r="A67" s="27" t="s">
        <v>393</v>
      </c>
      <c r="B67" s="25" t="s">
        <v>181</v>
      </c>
      <c r="C67" s="30">
        <v>1</v>
      </c>
      <c r="D67" s="27" t="s">
        <v>987</v>
      </c>
      <c r="E67" s="27">
        <v>3825</v>
      </c>
      <c r="F67" s="26" t="s">
        <v>28</v>
      </c>
      <c r="G67" s="28">
        <v>15.85</v>
      </c>
      <c r="H67" s="33">
        <f>BDI!$E$35</f>
        <v>0.14012827909185233</v>
      </c>
      <c r="I67" s="218">
        <f>ROUND(G67*H67,2)</f>
        <v>2.2200000000000002</v>
      </c>
      <c r="J67" s="313">
        <f>ROUND(IF(ISNUMBER(I67),C67*(G67+I67),C67*G67),2)</f>
        <v>18.07</v>
      </c>
    </row>
    <row r="68" spans="1:10" ht="25.5">
      <c r="A68" s="27" t="s">
        <v>394</v>
      </c>
      <c r="B68" s="25" t="s">
        <v>184</v>
      </c>
      <c r="C68" s="30">
        <v>1</v>
      </c>
      <c r="D68" s="27" t="s">
        <v>987</v>
      </c>
      <c r="E68" s="936" t="s">
        <v>183</v>
      </c>
      <c r="F68" s="937"/>
      <c r="G68" s="390" t="e">
        <f>#REF!</f>
        <v>#REF!</v>
      </c>
      <c r="H68" s="33">
        <f>BDI!$E$35</f>
        <v>0.14012827909185233</v>
      </c>
      <c r="I68" s="218" t="e">
        <f t="shared" ref="I68" si="37">ROUND(G68*H68,2)</f>
        <v>#REF!</v>
      </c>
      <c r="J68" s="313" t="e">
        <f t="shared" ref="J68" si="38">ROUND(IF(ISNUMBER(I68),C68*(G68+I68),C68*G68),2)</f>
        <v>#REF!</v>
      </c>
    </row>
    <row r="69" spans="1:10">
      <c r="A69" s="27" t="s">
        <v>395</v>
      </c>
      <c r="B69" s="35" t="s">
        <v>182</v>
      </c>
      <c r="C69" s="30">
        <v>6</v>
      </c>
      <c r="D69" s="27" t="s">
        <v>0</v>
      </c>
      <c r="E69" s="27">
        <v>36378</v>
      </c>
      <c r="F69" s="26" t="s">
        <v>28</v>
      </c>
      <c r="G69" s="28">
        <v>26.71</v>
      </c>
      <c r="H69" s="33">
        <f>BDI!$E$35</f>
        <v>0.14012827909185233</v>
      </c>
      <c r="I69" s="218">
        <f t="shared" ref="I69" si="39">ROUND(G69*H69,2)</f>
        <v>3.74</v>
      </c>
      <c r="J69" s="313">
        <f t="shared" ref="J69" si="40">ROUND(IF(ISNUMBER(I69),C69*(G69+I69),C69*G69),2)</f>
        <v>182.7</v>
      </c>
    </row>
    <row r="70" spans="1:10">
      <c r="A70" s="411" t="str">
        <f>OBSOLETO!C117</f>
        <v>5.4</v>
      </c>
      <c r="B70" s="112" t="str">
        <f>OBSOLETO!D117</f>
        <v>Construção de caixa abrigo para o Registro de Gaveta</v>
      </c>
      <c r="C70" s="113"/>
      <c r="D70" s="113"/>
      <c r="E70" s="113"/>
      <c r="F70" s="113"/>
      <c r="G70" s="113"/>
      <c r="H70" s="113"/>
      <c r="I70" s="214"/>
      <c r="J70" s="418"/>
    </row>
    <row r="71" spans="1:10">
      <c r="A71" s="647" t="str">
        <f>OBSOLETO!D118</f>
        <v>5.4.1</v>
      </c>
      <c r="B71" s="520" t="str">
        <f>OBSOLETO!E118</f>
        <v>Tubo PVC DEFOFO, JEI, 1 MPA, DN 200 mm, para rede de água (NBR 7665) (Acesso aos registros)</v>
      </c>
      <c r="C71" s="93">
        <f>OBSOLETO!R118</f>
        <v>1.5</v>
      </c>
      <c r="D71" s="394" t="str">
        <f>OBSOLETO!S118</f>
        <v>m</v>
      </c>
      <c r="E71" s="128">
        <v>9829</v>
      </c>
      <c r="F71" s="125" t="s">
        <v>28</v>
      </c>
      <c r="G71" s="255">
        <v>226.2</v>
      </c>
      <c r="H71" s="126">
        <v>0.16769197716658035</v>
      </c>
      <c r="I71" s="215">
        <f t="shared" ref="I71:I76" si="41">ROUND(G71*H71,2)</f>
        <v>37.93</v>
      </c>
      <c r="J71" s="313">
        <f t="shared" ref="J71:J76" si="42">ROUND(IF(ISNUMBER(I71),C71*(G71+I71),C71*G71),2)</f>
        <v>396.2</v>
      </c>
    </row>
    <row r="72" spans="1:10">
      <c r="A72" s="647" t="str">
        <f>OBSOLETO!D119</f>
        <v>5.4.2</v>
      </c>
      <c r="B72" s="520" t="str">
        <f>OBSOLETO!E119</f>
        <v>Tampão T5 FoFo DN=100mm com tampa articulada para válvula NTS 033</v>
      </c>
      <c r="C72" s="93">
        <f>OBSOLETO!R119</f>
        <v>1</v>
      </c>
      <c r="D72" s="394" t="str">
        <f>OBSOLETO!S119</f>
        <v>Und</v>
      </c>
      <c r="E72" s="125" t="s">
        <v>28</v>
      </c>
      <c r="F72" s="125" t="s">
        <v>169</v>
      </c>
      <c r="G72" s="388">
        <v>97.43</v>
      </c>
      <c r="H72" s="126">
        <v>0</v>
      </c>
      <c r="I72" s="215">
        <f t="shared" si="41"/>
        <v>0</v>
      </c>
      <c r="J72" s="313">
        <f t="shared" si="42"/>
        <v>97.43</v>
      </c>
    </row>
    <row r="73" spans="1:10">
      <c r="A73" s="647" t="str">
        <f>OBSOLETO!D120</f>
        <v>5.4.3</v>
      </c>
      <c r="B73" s="520" t="str">
        <f>OBSOLETO!E120</f>
        <v>Dispositivo de proteção para registro com assentamento de tampa T-5, sem fornecimento</v>
      </c>
      <c r="C73" s="93">
        <f>OBSOLETO!R120</f>
        <v>1</v>
      </c>
      <c r="D73" s="394" t="str">
        <f>OBSOLETO!S120</f>
        <v>Und</v>
      </c>
      <c r="E73" s="125" t="s">
        <v>28</v>
      </c>
      <c r="F73" s="128">
        <v>70070342</v>
      </c>
      <c r="G73" s="388">
        <v>296.7</v>
      </c>
      <c r="H73" s="126">
        <v>0</v>
      </c>
      <c r="I73" s="215">
        <f t="shared" si="41"/>
        <v>0</v>
      </c>
      <c r="J73" s="313">
        <f t="shared" si="42"/>
        <v>296.7</v>
      </c>
    </row>
    <row r="74" spans="1:10">
      <c r="A74" s="647" t="str">
        <f>OBSOLETO!D121</f>
        <v>5.4.4</v>
      </c>
      <c r="B74" s="520" t="str">
        <f>OBSOLETO!E121</f>
        <v>Concreto Estrutural, Fck=25,0MPa</v>
      </c>
      <c r="C74" s="93">
        <f>OBSOLETO!R121</f>
        <v>3.7499999999999999E-2</v>
      </c>
      <c r="D74" s="394" t="str">
        <f>OBSOLETO!S121</f>
        <v>m³</v>
      </c>
      <c r="E74" s="125" t="s">
        <v>28</v>
      </c>
      <c r="F74" s="128">
        <v>70070145</v>
      </c>
      <c r="G74" s="388">
        <v>694.13</v>
      </c>
      <c r="H74" s="126">
        <v>0</v>
      </c>
      <c r="I74" s="215">
        <f t="shared" si="41"/>
        <v>0</v>
      </c>
      <c r="J74" s="313">
        <f t="shared" si="42"/>
        <v>26.03</v>
      </c>
    </row>
    <row r="75" spans="1:10">
      <c r="A75" s="647" t="str">
        <f>OBSOLETO!D122</f>
        <v>5.4.5</v>
      </c>
      <c r="B75" s="520" t="str">
        <f>OBSOLETO!E122</f>
        <v>Fôrma de Madeira - Comum</v>
      </c>
      <c r="C75" s="93">
        <f>OBSOLETO!R122</f>
        <v>0.3</v>
      </c>
      <c r="D75" s="394" t="str">
        <f>OBSOLETO!S122</f>
        <v>m²</v>
      </c>
      <c r="E75" s="125" t="s">
        <v>28</v>
      </c>
      <c r="F75" s="128">
        <v>70070126</v>
      </c>
      <c r="G75" s="388">
        <v>96.1</v>
      </c>
      <c r="H75" s="126">
        <v>0</v>
      </c>
      <c r="I75" s="215">
        <f t="shared" si="41"/>
        <v>0</v>
      </c>
      <c r="J75" s="313">
        <f t="shared" si="42"/>
        <v>28.83</v>
      </c>
    </row>
    <row r="76" spans="1:10">
      <c r="A76" s="647" t="str">
        <f>OBSOLETO!D123</f>
        <v>5.4.6</v>
      </c>
      <c r="B76" s="520" t="str">
        <f>OBSOLETO!E123</f>
        <v>Armação em Aço CA-50</v>
      </c>
      <c r="C76" s="93">
        <f>OBSOLETO!R123</f>
        <v>3</v>
      </c>
      <c r="D76" s="394" t="str">
        <f>OBSOLETO!S123</f>
        <v>kg</v>
      </c>
      <c r="E76" s="125" t="s">
        <v>28</v>
      </c>
      <c r="F76" s="128">
        <v>70070135</v>
      </c>
      <c r="G76" s="388">
        <v>19.829999999999998</v>
      </c>
      <c r="H76" s="126">
        <v>0</v>
      </c>
      <c r="I76" s="215">
        <f t="shared" si="41"/>
        <v>0</v>
      </c>
      <c r="J76" s="313">
        <f t="shared" si="42"/>
        <v>59.49</v>
      </c>
    </row>
    <row r="77" spans="1:10">
      <c r="A77" s="411" t="str">
        <f>OBSOLETO!C125</f>
        <v>5.5</v>
      </c>
      <c r="B77" s="112" t="str">
        <f>OBSOLETO!D125</f>
        <v>Ancoragem para as Peças Hidráulicas</v>
      </c>
      <c r="C77" s="113"/>
      <c r="D77" s="113"/>
      <c r="E77" s="113"/>
      <c r="F77" s="113"/>
      <c r="G77" s="113"/>
      <c r="H77" s="113"/>
      <c r="I77" s="214"/>
      <c r="J77" s="418"/>
    </row>
    <row r="78" spans="1:10">
      <c r="A78" s="647" t="str">
        <f>OBSOLETO!D126</f>
        <v>5.5.1</v>
      </c>
      <c r="B78" s="521" t="str">
        <f>OBSOLETO!E126</f>
        <v>Ancoragem em Pontalete de Madeira DN50, 80 e 100 mm</v>
      </c>
      <c r="C78" s="127">
        <f>OBSOLETO!R126</f>
        <v>1</v>
      </c>
      <c r="D78" s="394" t="str">
        <f>OBSOLETO!S126</f>
        <v>Und</v>
      </c>
      <c r="E78" s="125" t="s">
        <v>28</v>
      </c>
      <c r="F78" s="128">
        <v>70070090</v>
      </c>
      <c r="G78" s="388">
        <v>66.62</v>
      </c>
      <c r="H78" s="126">
        <v>0</v>
      </c>
      <c r="I78" s="215">
        <f t="shared" ref="I78" si="43">ROUND(G78*H78,2)</f>
        <v>0</v>
      </c>
      <c r="J78" s="313">
        <f t="shared" ref="J78" si="44">ROUND(IF(ISNUMBER(I78),C78*(G78+I78),C78*G78),2)</f>
        <v>66.62</v>
      </c>
    </row>
    <row r="79" spans="1:10">
      <c r="A79" s="411" t="str">
        <f>OBSOLETO!C128</f>
        <v>5.6</v>
      </c>
      <c r="B79" s="112" t="str">
        <f>OBSOLETO!D128</f>
        <v>Serviços Hidráulicos</v>
      </c>
      <c r="C79" s="113"/>
      <c r="D79" s="113"/>
      <c r="E79" s="113"/>
      <c r="F79" s="113"/>
      <c r="G79" s="113"/>
      <c r="H79" s="113"/>
      <c r="I79" s="214"/>
      <c r="J79" s="418"/>
    </row>
    <row r="80" spans="1:10">
      <c r="A80" s="27" t="str">
        <f>OBSOLETO!D140</f>
        <v>5.6.1</v>
      </c>
      <c r="B80" s="109" t="str">
        <f>OBSOLETO!E140</f>
        <v>Engenheiro Civil de obras com Encargos Complementares 1 h/intervenção x 3 intervenções</v>
      </c>
      <c r="C80" s="30">
        <f>OBSOLETO!R140</f>
        <v>3</v>
      </c>
      <c r="D80" s="27" t="str">
        <f>OBSOLETO!S140</f>
        <v>H</v>
      </c>
      <c r="E80" s="26" t="s">
        <v>1111</v>
      </c>
      <c r="F80" s="26" t="s">
        <v>28</v>
      </c>
      <c r="G80" s="32">
        <f>G46</f>
        <v>127.08</v>
      </c>
      <c r="H80" s="42">
        <f>BDI!$E$19</f>
        <v>0.24117279049169804</v>
      </c>
      <c r="I80" s="219">
        <f>ROUND(G80*H80,2)</f>
        <v>30.65</v>
      </c>
      <c r="J80" s="313">
        <f t="shared" ref="J80:J83" si="45">ROUND(IF(ISNUMBER(I80),C80*(G80+I80),C80*G80),2)</f>
        <v>473.19</v>
      </c>
    </row>
    <row r="81" spans="1:11">
      <c r="A81" s="27" t="str">
        <f>OBSOLETO!D141</f>
        <v>5.6.2</v>
      </c>
      <c r="B81" s="109" t="str">
        <f>OBSOLETO!E141</f>
        <v>Encarregado Geral com Encargos Complementares 2 h/interveção x 3 intervenções</v>
      </c>
      <c r="C81" s="30">
        <f>OBSOLETO!R141</f>
        <v>6</v>
      </c>
      <c r="D81" s="27" t="str">
        <f>OBSOLETO!S141</f>
        <v>H</v>
      </c>
      <c r="E81" s="26" t="s">
        <v>1113</v>
      </c>
      <c r="F81" s="26" t="s">
        <v>28</v>
      </c>
      <c r="G81" s="32">
        <f>G41</f>
        <v>38.46</v>
      </c>
      <c r="H81" s="42">
        <f>BDI!$E$19</f>
        <v>0.24117279049169804</v>
      </c>
      <c r="I81" s="219">
        <f t="shared" ref="I81:I83" si="46">ROUND(G81*H81,2)</f>
        <v>9.2799999999999994</v>
      </c>
      <c r="J81" s="313">
        <f t="shared" si="45"/>
        <v>286.44</v>
      </c>
    </row>
    <row r="82" spans="1:11">
      <c r="A82" s="27" t="str">
        <f>OBSOLETO!D142</f>
        <v>5.6.3</v>
      </c>
      <c r="B82" s="109" t="str">
        <f>OBSOLETO!E142</f>
        <v>Encanador com Encargos Complementares 8 h/intervenção x 3 intervenções</v>
      </c>
      <c r="C82" s="30">
        <f>OBSOLETO!R142</f>
        <v>24</v>
      </c>
      <c r="D82" s="27" t="str">
        <f>OBSOLETO!S142</f>
        <v>H</v>
      </c>
      <c r="E82" s="26" t="s">
        <v>1115</v>
      </c>
      <c r="F82" s="26" t="s">
        <v>28</v>
      </c>
      <c r="G82" s="32">
        <f>G47</f>
        <v>32.049999999999997</v>
      </c>
      <c r="H82" s="42">
        <f>BDI!$E$19</f>
        <v>0.24117279049169804</v>
      </c>
      <c r="I82" s="219">
        <f t="shared" si="46"/>
        <v>7.73</v>
      </c>
      <c r="J82" s="313">
        <f t="shared" si="45"/>
        <v>954.72</v>
      </c>
    </row>
    <row r="83" spans="1:11">
      <c r="A83" s="27" t="str">
        <f>OBSOLETO!D143</f>
        <v>5.6.4</v>
      </c>
      <c r="B83" s="109" t="str">
        <f>OBSOLETO!E143</f>
        <v>Auxiliar de encanador com Encargos Complementares 8 h/intervenção x 3 intervenções</v>
      </c>
      <c r="C83" s="30">
        <f>OBSOLETO!R143</f>
        <v>24</v>
      </c>
      <c r="D83" s="27" t="str">
        <f>OBSOLETO!S143</f>
        <v>H</v>
      </c>
      <c r="E83" s="26" t="s">
        <v>1117</v>
      </c>
      <c r="F83" s="26" t="s">
        <v>28</v>
      </c>
      <c r="G83" s="32">
        <f>G48</f>
        <v>27.57</v>
      </c>
      <c r="H83" s="42">
        <f>BDI!$E$19</f>
        <v>0.24117279049169804</v>
      </c>
      <c r="I83" s="219">
        <f t="shared" si="46"/>
        <v>6.65</v>
      </c>
      <c r="J83" s="313">
        <f t="shared" si="45"/>
        <v>821.28</v>
      </c>
    </row>
    <row r="84" spans="1:11">
      <c r="A84" s="411" t="str">
        <f>OBSOLETO!C146</f>
        <v>5.7</v>
      </c>
      <c r="B84" s="112" t="str">
        <f>OBSOLETO!D146</f>
        <v>Serviços Finais</v>
      </c>
      <c r="C84" s="113"/>
      <c r="D84" s="113"/>
      <c r="E84" s="113"/>
      <c r="F84" s="113"/>
      <c r="G84" s="113"/>
      <c r="H84" s="113"/>
      <c r="I84" s="214"/>
      <c r="J84" s="418"/>
    </row>
    <row r="85" spans="1:11">
      <c r="A85" s="27" t="str">
        <f>OBSOLETO!D147</f>
        <v>5.7.1</v>
      </c>
      <c r="B85" s="47" t="str">
        <f>OBSOLETO!E147</f>
        <v>Limpeza Final de Obra</v>
      </c>
      <c r="C85" s="30">
        <f>OBSOLETO!R149</f>
        <v>12</v>
      </c>
      <c r="D85" s="27" t="str">
        <f>OBSOLETO!S149</f>
        <v>m²</v>
      </c>
      <c r="E85" s="91" t="s">
        <v>28</v>
      </c>
      <c r="F85" s="90">
        <v>70190144</v>
      </c>
      <c r="G85" s="32">
        <v>11.52</v>
      </c>
      <c r="H85" s="42">
        <v>0</v>
      </c>
      <c r="I85" s="217">
        <f t="shared" ref="I85" si="47">ROUND(G85*H85,2)</f>
        <v>0</v>
      </c>
      <c r="J85" s="313">
        <f t="shared" ref="J85" si="48">ROUND(IF(ISNUMBER(I85),C85*(G85+I85),C85*G85),2)</f>
        <v>138.24</v>
      </c>
    </row>
    <row r="86" spans="1:11">
      <c r="A86" s="411" t="str">
        <f>OBSOLETO!C152</f>
        <v>5.8</v>
      </c>
      <c r="B86" s="112" t="str">
        <f>OBSOLETO!D152</f>
        <v>Manutenção Captação - Laje de Proteção do Poço</v>
      </c>
      <c r="C86" s="113"/>
      <c r="D86" s="113"/>
      <c r="E86" s="113"/>
      <c r="F86" s="113"/>
      <c r="G86" s="113"/>
      <c r="H86" s="113"/>
      <c r="I86" s="214"/>
      <c r="J86" s="418"/>
    </row>
    <row r="87" spans="1:11">
      <c r="A87" s="27" t="str">
        <f>OBSOLETO!D160</f>
        <v>5.8.1</v>
      </c>
      <c r="B87" s="47" t="str">
        <f>OBSOLETO!E160</f>
        <v>Limpeza manual de vegetação, inclusive poda de pequenos arbustos</v>
      </c>
      <c r="C87" s="30">
        <f>OBSOLETO!R162</f>
        <v>36</v>
      </c>
      <c r="D87" s="27" t="str">
        <f>OBSOLETO!S162</f>
        <v>m²</v>
      </c>
      <c r="E87" s="27">
        <v>98524</v>
      </c>
      <c r="F87" s="26" t="s">
        <v>28</v>
      </c>
      <c r="G87" s="32">
        <v>3.75</v>
      </c>
      <c r="H87" s="42">
        <f>BDI!$E$19</f>
        <v>0.24117279049169804</v>
      </c>
      <c r="I87" s="219">
        <f t="shared" ref="I87" si="49">ROUND(G87*H87,2)</f>
        <v>0.9</v>
      </c>
      <c r="J87" s="313">
        <f t="shared" ref="J87" si="50">ROUND(IF(ISNUMBER(I87),C87*(G87+I87),C87*G87),2)</f>
        <v>167.4</v>
      </c>
    </row>
    <row r="88" spans="1:11">
      <c r="A88" s="411" t="s">
        <v>255</v>
      </c>
      <c r="B88" s="112" t="s">
        <v>356</v>
      </c>
      <c r="C88" s="113"/>
      <c r="D88" s="113"/>
      <c r="E88" s="113"/>
      <c r="F88" s="113"/>
      <c r="G88" s="113"/>
      <c r="H88" s="113"/>
      <c r="I88" s="214"/>
      <c r="J88" s="418"/>
    </row>
    <row r="89" spans="1:11">
      <c r="A89" s="27" t="s">
        <v>409</v>
      </c>
      <c r="B89" s="47" t="s">
        <v>754</v>
      </c>
      <c r="C89" s="30">
        <v>1</v>
      </c>
      <c r="D89" s="27" t="s">
        <v>987</v>
      </c>
      <c r="E89" s="936" t="s">
        <v>183</v>
      </c>
      <c r="F89" s="937"/>
      <c r="G89" s="255" t="e">
        <f>#REF!</f>
        <v>#REF!</v>
      </c>
      <c r="H89" s="42">
        <f>BDI!$E$35</f>
        <v>0.14012827909185233</v>
      </c>
      <c r="I89" s="217" t="e">
        <f t="shared" ref="I89:I93" si="51">ROUND(G89*H89,2)</f>
        <v>#REF!</v>
      </c>
      <c r="J89" s="313" t="e">
        <f t="shared" ref="J89:J93" si="52">ROUND(IF(ISNUMBER(I89),C89*(G89+I89),C89*G89),2)</f>
        <v>#REF!</v>
      </c>
      <c r="K89" s="319"/>
    </row>
    <row r="90" spans="1:11">
      <c r="A90" s="27" t="s">
        <v>423</v>
      </c>
      <c r="B90" s="47" t="s">
        <v>368</v>
      </c>
      <c r="C90" s="30">
        <v>2</v>
      </c>
      <c r="D90" s="27" t="s">
        <v>987</v>
      </c>
      <c r="E90" s="26" t="s">
        <v>28</v>
      </c>
      <c r="F90" s="26" t="s">
        <v>367</v>
      </c>
      <c r="G90" s="255">
        <v>329.75</v>
      </c>
      <c r="H90" s="42">
        <v>0</v>
      </c>
      <c r="I90" s="217">
        <f t="shared" si="51"/>
        <v>0</v>
      </c>
      <c r="J90" s="313">
        <f t="shared" si="52"/>
        <v>659.5</v>
      </c>
    </row>
    <row r="91" spans="1:11">
      <c r="A91" s="27" t="s">
        <v>424</v>
      </c>
      <c r="B91" s="47" t="s">
        <v>370</v>
      </c>
      <c r="C91" s="30">
        <v>2</v>
      </c>
      <c r="D91" s="27" t="s">
        <v>987</v>
      </c>
      <c r="E91" s="26" t="s">
        <v>28</v>
      </c>
      <c r="F91" s="26" t="s">
        <v>369</v>
      </c>
      <c r="G91" s="255">
        <v>573.39</v>
      </c>
      <c r="H91" s="42">
        <v>0</v>
      </c>
      <c r="I91" s="217">
        <f t="shared" si="51"/>
        <v>0</v>
      </c>
      <c r="J91" s="313">
        <f t="shared" si="52"/>
        <v>1146.78</v>
      </c>
    </row>
    <row r="92" spans="1:11">
      <c r="A92" s="27" t="s">
        <v>425</v>
      </c>
      <c r="B92" s="47" t="s">
        <v>372</v>
      </c>
      <c r="C92" s="30">
        <v>2</v>
      </c>
      <c r="D92" s="27" t="s">
        <v>987</v>
      </c>
      <c r="E92" s="26" t="s">
        <v>28</v>
      </c>
      <c r="F92" s="26" t="s">
        <v>371</v>
      </c>
      <c r="G92" s="255">
        <v>377.92</v>
      </c>
      <c r="H92" s="42">
        <v>0</v>
      </c>
      <c r="I92" s="217">
        <f t="shared" si="51"/>
        <v>0</v>
      </c>
      <c r="J92" s="313">
        <f t="shared" si="52"/>
        <v>755.84</v>
      </c>
    </row>
    <row r="93" spans="1:11">
      <c r="A93" s="27" t="s">
        <v>426</v>
      </c>
      <c r="B93" s="47" t="s">
        <v>373</v>
      </c>
      <c r="C93" s="30">
        <v>2</v>
      </c>
      <c r="D93" s="27" t="s">
        <v>987</v>
      </c>
      <c r="E93" s="26" t="s">
        <v>28</v>
      </c>
      <c r="F93" s="26" t="s">
        <v>374</v>
      </c>
      <c r="G93" s="255">
        <v>28.64</v>
      </c>
      <c r="H93" s="42">
        <v>0</v>
      </c>
      <c r="I93" s="217">
        <f t="shared" si="51"/>
        <v>0</v>
      </c>
      <c r="J93" s="313">
        <f t="shared" si="52"/>
        <v>57.28</v>
      </c>
    </row>
    <row r="94" spans="1:11">
      <c r="A94" s="411" t="str">
        <f>OBSOLETO!C165</f>
        <v>5.10</v>
      </c>
      <c r="B94" s="112" t="str">
        <f>OBSOLETO!D165</f>
        <v>Macromedidor do Poço - Instalação</v>
      </c>
      <c r="C94" s="113"/>
      <c r="D94" s="113"/>
      <c r="E94" s="113"/>
      <c r="F94" s="113"/>
      <c r="G94" s="113"/>
      <c r="H94" s="113"/>
      <c r="I94" s="225"/>
      <c r="J94" s="418"/>
    </row>
    <row r="95" spans="1:11">
      <c r="A95" s="413" t="str">
        <f>OBSOLETO!D166</f>
        <v>5.10.1</v>
      </c>
      <c r="B95" s="109" t="str">
        <f>OBSOLETO!E166</f>
        <v>Engenheiro Civil de obras com Encargos Complementares 4 h/dia x 2 dia</v>
      </c>
      <c r="C95" s="30">
        <f>OBSOLETO!R166</f>
        <v>8</v>
      </c>
      <c r="D95" s="27" t="str">
        <f>OBSOLETO!S166</f>
        <v>H</v>
      </c>
      <c r="E95" s="26" t="s">
        <v>1111</v>
      </c>
      <c r="F95" s="26" t="s">
        <v>28</v>
      </c>
      <c r="G95" s="32">
        <f>G40</f>
        <v>127.08</v>
      </c>
      <c r="H95" s="33">
        <f>BDI!$E$19</f>
        <v>0.24117279049169804</v>
      </c>
      <c r="I95" s="218">
        <f t="shared" ref="I95:I99" si="53">ROUND(G95*H95,2)</f>
        <v>30.65</v>
      </c>
      <c r="J95" s="313">
        <f t="shared" ref="J95:J99" si="54">ROUND(IF(ISNUMBER(I95),C95*(G95+I95),C95*G95),2)</f>
        <v>1261.8399999999999</v>
      </c>
    </row>
    <row r="96" spans="1:11">
      <c r="A96" s="413" t="str">
        <f>OBSOLETO!D167</f>
        <v>5.10.2</v>
      </c>
      <c r="B96" s="109" t="str">
        <f>OBSOLETO!E167</f>
        <v>Encarregado Geral com Encargos Complementares 8 h/dia x 2 dias</v>
      </c>
      <c r="C96" s="30">
        <f>OBSOLETO!R167</f>
        <v>16</v>
      </c>
      <c r="D96" s="27" t="str">
        <f>OBSOLETO!S167</f>
        <v>H</v>
      </c>
      <c r="E96" s="26" t="s">
        <v>1113</v>
      </c>
      <c r="F96" s="26" t="s">
        <v>28</v>
      </c>
      <c r="G96" s="32">
        <f>G41</f>
        <v>38.46</v>
      </c>
      <c r="H96" s="33">
        <f>BDI!$E$19</f>
        <v>0.24117279049169804</v>
      </c>
      <c r="I96" s="218">
        <f t="shared" si="53"/>
        <v>9.2799999999999994</v>
      </c>
      <c r="J96" s="313">
        <f t="shared" si="54"/>
        <v>763.84</v>
      </c>
    </row>
    <row r="97" spans="1:10">
      <c r="A97" s="413" t="str">
        <f>OBSOLETO!D168</f>
        <v>5.10.3</v>
      </c>
      <c r="B97" s="109" t="str">
        <f>OBSOLETO!E168</f>
        <v>Encanador com Encargos Complementares 8 h/dia x 2 dias x 1 profiss.</v>
      </c>
      <c r="C97" s="30">
        <f>OBSOLETO!R168</f>
        <v>16</v>
      </c>
      <c r="D97" s="27" t="str">
        <f>OBSOLETO!S168</f>
        <v>H</v>
      </c>
      <c r="E97" s="26" t="s">
        <v>1115</v>
      </c>
      <c r="F97" s="26" t="s">
        <v>28</v>
      </c>
      <c r="G97" s="32">
        <f>G42</f>
        <v>32.049999999999997</v>
      </c>
      <c r="H97" s="33">
        <f>BDI!$E$19</f>
        <v>0.24117279049169804</v>
      </c>
      <c r="I97" s="218">
        <f t="shared" si="53"/>
        <v>7.73</v>
      </c>
      <c r="J97" s="313">
        <f t="shared" si="54"/>
        <v>636.48</v>
      </c>
    </row>
    <row r="98" spans="1:10">
      <c r="A98" s="413" t="str">
        <f>OBSOLETO!D169</f>
        <v>5.10.4</v>
      </c>
      <c r="B98" s="109" t="str">
        <f>OBSOLETO!E169</f>
        <v>Auxiliar de encanador com Encargos Complementares 8 h/dia x 2 dias x 1 profiss.</v>
      </c>
      <c r="C98" s="30">
        <f>OBSOLETO!R169</f>
        <v>16</v>
      </c>
      <c r="D98" s="27" t="str">
        <f>OBSOLETO!S169</f>
        <v>H</v>
      </c>
      <c r="E98" s="26" t="s">
        <v>1117</v>
      </c>
      <c r="F98" s="26" t="s">
        <v>28</v>
      </c>
      <c r="G98" s="32">
        <f>G43</f>
        <v>27.57</v>
      </c>
      <c r="H98" s="33">
        <f>BDI!$E$19</f>
        <v>0.24117279049169804</v>
      </c>
      <c r="I98" s="218">
        <f t="shared" si="53"/>
        <v>6.65</v>
      </c>
      <c r="J98" s="313">
        <f t="shared" si="54"/>
        <v>547.52</v>
      </c>
    </row>
    <row r="99" spans="1:10">
      <c r="A99" s="413" t="str">
        <f>OBSOLETO!D170</f>
        <v>5.10.5</v>
      </c>
      <c r="B99" s="109" t="str">
        <f>OBSOLETO!E170</f>
        <v>Motorista de Veículo Leve com Encargos Complementares 8 h/ dia x 2 dias x 1 profiss.</v>
      </c>
      <c r="C99" s="30">
        <f>OBSOLETO!R170</f>
        <v>16</v>
      </c>
      <c r="D99" s="27" t="str">
        <f>OBSOLETO!S170</f>
        <v>H</v>
      </c>
      <c r="E99" s="26" t="s">
        <v>1118</v>
      </c>
      <c r="F99" s="26" t="s">
        <v>28</v>
      </c>
      <c r="G99" s="32">
        <f>G44</f>
        <v>26.82</v>
      </c>
      <c r="H99" s="33">
        <f>BDI!$E$19</f>
        <v>0.24117279049169804</v>
      </c>
      <c r="I99" s="218">
        <f t="shared" si="53"/>
        <v>6.47</v>
      </c>
      <c r="J99" s="313">
        <f t="shared" si="54"/>
        <v>532.64</v>
      </c>
    </row>
    <row r="100" spans="1:10">
      <c r="A100" s="411" t="str">
        <f>OBSOLETO!C172</f>
        <v>5.11</v>
      </c>
      <c r="B100" s="112" t="str">
        <f>OBSOLETO!D172</f>
        <v>Aferição e Calibração de Macromedidor com equipamento do tipo ultrassônico</v>
      </c>
      <c r="C100" s="113"/>
      <c r="D100" s="113"/>
      <c r="E100" s="113"/>
      <c r="F100" s="113"/>
      <c r="G100" s="113"/>
      <c r="H100" s="113"/>
      <c r="I100" s="214"/>
      <c r="J100" s="418"/>
    </row>
    <row r="101" spans="1:10">
      <c r="A101" s="413" t="str">
        <f>OBSOLETO!D173</f>
        <v>5.11.1</v>
      </c>
      <c r="B101" s="109" t="str">
        <f>OBSOLETO!E173</f>
        <v>Engenheiro Civil de obras com Encargos Complementares 4 h/dia x 1 dia</v>
      </c>
      <c r="C101" s="30">
        <f>OBSOLETO!R173</f>
        <v>4</v>
      </c>
      <c r="D101" s="27" t="str">
        <f>OBSOLETO!S173</f>
        <v>H</v>
      </c>
      <c r="E101" s="26" t="s">
        <v>1111</v>
      </c>
      <c r="F101" s="26" t="s">
        <v>28</v>
      </c>
      <c r="G101" s="255">
        <f>G95</f>
        <v>127.08</v>
      </c>
      <c r="H101" s="33">
        <f>BDI!$E$19</f>
        <v>0.24117279049169804</v>
      </c>
      <c r="I101" s="218">
        <f t="shared" ref="I101:I103" si="55">ROUND(G101*H101,2)</f>
        <v>30.65</v>
      </c>
      <c r="J101" s="313">
        <f t="shared" ref="J101:J103" si="56">ROUND(IF(ISNUMBER(I101),C101*(G101+I101),C101*G101),2)</f>
        <v>630.91999999999996</v>
      </c>
    </row>
    <row r="102" spans="1:10">
      <c r="A102" s="413" t="str">
        <f>OBSOLETO!D174</f>
        <v>5.11.2</v>
      </c>
      <c r="B102" s="109" t="str">
        <f>OBSOLETO!E174</f>
        <v>Encanador com Encargos Complementares 8 h/dia x 1 dias x 1 profiss.</v>
      </c>
      <c r="C102" s="30">
        <f>OBSOLETO!R174</f>
        <v>8</v>
      </c>
      <c r="D102" s="27" t="str">
        <f>OBSOLETO!S174</f>
        <v>H</v>
      </c>
      <c r="E102" s="26" t="s">
        <v>1115</v>
      </c>
      <c r="F102" s="26" t="s">
        <v>28</v>
      </c>
      <c r="G102" s="255">
        <f>G97</f>
        <v>32.049999999999997</v>
      </c>
      <c r="H102" s="33">
        <f>BDI!$E$19</f>
        <v>0.24117279049169804</v>
      </c>
      <c r="I102" s="218">
        <f t="shared" si="55"/>
        <v>7.73</v>
      </c>
      <c r="J102" s="313">
        <f t="shared" si="56"/>
        <v>318.24</v>
      </c>
    </row>
    <row r="103" spans="1:10">
      <c r="A103" s="413" t="str">
        <f>OBSOLETO!D175</f>
        <v>5.11.3</v>
      </c>
      <c r="B103" s="109" t="str">
        <f>OBSOLETO!E175</f>
        <v>Auxiliar de encanador com Encargos Complementares 8 h/dia x 1 dias x 1 profiss.</v>
      </c>
      <c r="C103" s="30">
        <f>OBSOLETO!R175</f>
        <v>8</v>
      </c>
      <c r="D103" s="27" t="str">
        <f>OBSOLETO!S175</f>
        <v>H</v>
      </c>
      <c r="E103" s="26" t="s">
        <v>1117</v>
      </c>
      <c r="F103" s="26" t="s">
        <v>28</v>
      </c>
      <c r="G103" s="255">
        <f>G98</f>
        <v>27.57</v>
      </c>
      <c r="H103" s="33">
        <f>BDI!$E$19</f>
        <v>0.24117279049169804</v>
      </c>
      <c r="I103" s="218">
        <f t="shared" si="55"/>
        <v>6.65</v>
      </c>
      <c r="J103" s="313">
        <f t="shared" si="56"/>
        <v>273.76</v>
      </c>
    </row>
    <row r="104" spans="1:10">
      <c r="A104" s="27"/>
      <c r="B104" s="2" t="s">
        <v>264</v>
      </c>
      <c r="C104" s="30"/>
      <c r="D104" s="27"/>
      <c r="E104" s="26"/>
      <c r="F104" s="26"/>
      <c r="G104" s="28"/>
      <c r="H104" s="48"/>
      <c r="I104" s="219"/>
      <c r="J104" s="414" t="e">
        <f>SUM(J53:J103)</f>
        <v>#REF!</v>
      </c>
    </row>
    <row r="105" spans="1:10">
      <c r="A105" s="933"/>
      <c r="B105" s="934"/>
      <c r="C105" s="934"/>
      <c r="D105" s="934"/>
      <c r="E105" s="934"/>
      <c r="F105" s="934"/>
      <c r="G105" s="934"/>
      <c r="H105" s="934"/>
      <c r="I105" s="934"/>
      <c r="J105" s="935"/>
    </row>
    <row r="106" spans="1:10">
      <c r="A106" s="411">
        <f>OBSOLETO!C177</f>
        <v>6</v>
      </c>
      <c r="B106" s="116" t="str">
        <f>OBSOLETO!D177</f>
        <v>Implantação do Reservatório Metalico volume de 200m3, local Rua João Abreu Pestana - Denominado Cocaja II. - Setor 03</v>
      </c>
      <c r="C106" s="107"/>
      <c r="D106" s="107"/>
      <c r="E106" s="107"/>
      <c r="F106" s="107"/>
      <c r="G106" s="107"/>
      <c r="H106" s="107"/>
      <c r="I106" s="107"/>
      <c r="J106" s="417"/>
    </row>
    <row r="107" spans="1:10">
      <c r="A107" s="419" t="str">
        <f>OBSOLETO!C197</f>
        <v>6.1</v>
      </c>
      <c r="B107" s="393" t="str">
        <f>OBSOLETO!D197</f>
        <v>Locação de redes de Água</v>
      </c>
      <c r="C107" s="113"/>
      <c r="D107" s="113"/>
      <c r="E107" s="113"/>
      <c r="F107" s="113"/>
      <c r="G107" s="113"/>
      <c r="H107" s="113"/>
      <c r="I107" s="113"/>
      <c r="J107" s="420"/>
    </row>
    <row r="108" spans="1:10">
      <c r="A108" s="413" t="str">
        <f>OBSOLETO!D198</f>
        <v>6.1.1</v>
      </c>
      <c r="B108" s="115" t="str">
        <f>OBSOLETO!E198</f>
        <v>Locação de redes de água</v>
      </c>
      <c r="C108" s="89">
        <f>OBSOLETO!R199</f>
        <v>582</v>
      </c>
      <c r="D108" s="90" t="str">
        <f>OBSOLETO!S199</f>
        <v>m</v>
      </c>
      <c r="E108" s="90">
        <v>99063</v>
      </c>
      <c r="F108" s="91" t="s">
        <v>28</v>
      </c>
      <c r="G108" s="32">
        <v>5.81</v>
      </c>
      <c r="H108" s="92">
        <v>0.2639754597701145</v>
      </c>
      <c r="I108" s="213">
        <f t="shared" ref="I108" si="57">ROUND(G108*H108,2)</f>
        <v>1.53</v>
      </c>
      <c r="J108" s="313">
        <f t="shared" ref="J108" si="58">ROUND(IF(ISNUMBER(I108),C108*(G108+I108),C108*G108),2)</f>
        <v>4271.88</v>
      </c>
    </row>
    <row r="109" spans="1:10">
      <c r="A109" s="411" t="s">
        <v>429</v>
      </c>
      <c r="B109" s="112" t="s">
        <v>176</v>
      </c>
      <c r="C109" s="113"/>
      <c r="D109" s="113"/>
      <c r="E109" s="113"/>
      <c r="F109" s="113"/>
      <c r="G109" s="113"/>
      <c r="H109" s="113"/>
      <c r="I109" s="214"/>
      <c r="J109" s="418"/>
    </row>
    <row r="110" spans="1:10">
      <c r="A110" s="27" t="str">
        <f>OBSOLETO!D203</f>
        <v>6.2.1</v>
      </c>
      <c r="B110" s="108" t="str">
        <f>OBSOLETO!E203</f>
        <v>Sinalização de tráfego com cerquite</v>
      </c>
      <c r="C110" s="89">
        <f>OBSOLETO!R214</f>
        <v>101.66666666666667</v>
      </c>
      <c r="D110" s="90" t="str">
        <f>OBSOLETO!S214</f>
        <v>m</v>
      </c>
      <c r="E110" s="91" t="s">
        <v>28</v>
      </c>
      <c r="F110" s="114">
        <v>70020005</v>
      </c>
      <c r="G110" s="32">
        <v>3.46</v>
      </c>
      <c r="H110" s="92">
        <v>0</v>
      </c>
      <c r="I110" s="213">
        <f t="shared" ref="I110:I111" si="59">ROUND(G110*H110,2)</f>
        <v>0</v>
      </c>
      <c r="J110" s="313">
        <f t="shared" ref="J110:J111" si="60">ROUND(IF(ISNUMBER(I110),C110*(G110+I110),C110*G110),2)</f>
        <v>351.77</v>
      </c>
    </row>
    <row r="111" spans="1:10">
      <c r="A111" s="27" t="str">
        <f>OBSOLETO!D216</f>
        <v>6.2.2</v>
      </c>
      <c r="B111" s="115" t="str">
        <f>OBSOLETO!E216</f>
        <v>Sinalização luminosa para obras</v>
      </c>
      <c r="C111" s="89">
        <f>OBSOLETO!R227</f>
        <v>101.66666666666667</v>
      </c>
      <c r="D111" s="90" t="str">
        <f>OBSOLETO!S227</f>
        <v>m</v>
      </c>
      <c r="E111" s="91" t="s">
        <v>28</v>
      </c>
      <c r="F111" s="90">
        <v>70020001</v>
      </c>
      <c r="G111" s="32">
        <v>4.97</v>
      </c>
      <c r="H111" s="92">
        <v>0</v>
      </c>
      <c r="I111" s="213">
        <f t="shared" si="59"/>
        <v>0</v>
      </c>
      <c r="J111" s="313">
        <f t="shared" si="60"/>
        <v>505.28</v>
      </c>
    </row>
    <row r="112" spans="1:10">
      <c r="A112" s="411" t="str">
        <f>OBSOLETO!C230</f>
        <v>6.3</v>
      </c>
      <c r="B112" s="112" t="str">
        <f>OBSOLETO!D230</f>
        <v>Preparação do solo, abertura de valas, compactação e recomposição do pavimento - 582,00 m de rede</v>
      </c>
      <c r="C112" s="113"/>
      <c r="D112" s="113"/>
      <c r="E112" s="113"/>
      <c r="F112" s="113"/>
      <c r="G112" s="113"/>
      <c r="H112" s="113"/>
      <c r="I112" s="214"/>
      <c r="J112" s="418"/>
    </row>
    <row r="113" spans="1:10">
      <c r="A113" s="90" t="str">
        <f>OBSOLETO!D232</f>
        <v>6.3.1</v>
      </c>
      <c r="B113" s="47" t="str">
        <f>OBSOLETO!E232</f>
        <v xml:space="preserve">Definição e demarcação da área de reparo com disco de corte </v>
      </c>
      <c r="C113" s="89">
        <f>OBSOLETO!R234</f>
        <v>1164</v>
      </c>
      <c r="D113" s="90" t="str">
        <f>OBSOLETO!S234</f>
        <v>m</v>
      </c>
      <c r="E113" s="91" t="s">
        <v>28</v>
      </c>
      <c r="F113" s="90">
        <v>70190008</v>
      </c>
      <c r="G113" s="389">
        <v>7.51</v>
      </c>
      <c r="H113" s="92">
        <v>0</v>
      </c>
      <c r="I113" s="215">
        <f t="shared" ref="I113:I123" si="61">ROUND(G113*H113,2)</f>
        <v>0</v>
      </c>
      <c r="J113" s="313">
        <f t="shared" ref="J113:J123" si="62">ROUND(IF(ISNUMBER(I113),C113*(G113+I113),C113*G113),2)</f>
        <v>8741.64</v>
      </c>
    </row>
    <row r="114" spans="1:10">
      <c r="A114" s="90" t="str">
        <f>OBSOLETO!D237</f>
        <v>6.3.2</v>
      </c>
      <c r="B114" s="47" t="str">
        <f>OBSOLETO!E237</f>
        <v>Demolição de Pavimentação Asfáltica com utilização de martelo perfurador, espessura até 15cm, exclusive carga e transporte</v>
      </c>
      <c r="C114" s="89">
        <f>OBSOLETO!R239</f>
        <v>465.6</v>
      </c>
      <c r="D114" s="90" t="str">
        <f>OBSOLETO!S239</f>
        <v>m²</v>
      </c>
      <c r="E114" s="90">
        <v>97636</v>
      </c>
      <c r="F114" s="91" t="s">
        <v>28</v>
      </c>
      <c r="G114" s="389">
        <v>19.64</v>
      </c>
      <c r="H114" s="92">
        <f>BDI!$E$19</f>
        <v>0.24117279049169804</v>
      </c>
      <c r="I114" s="213">
        <f t="shared" si="61"/>
        <v>4.74</v>
      </c>
      <c r="J114" s="313">
        <f t="shared" si="62"/>
        <v>11351.33</v>
      </c>
    </row>
    <row r="115" spans="1:10">
      <c r="A115" s="90" t="str">
        <f>OBSOLETO!D242</f>
        <v>6.3.3</v>
      </c>
      <c r="B115" s="47" t="str">
        <f>OBSOLETO!E242</f>
        <v>Remoção de entulho inclusive a carga, transporte e descarga em bota fora a qualquer distância</v>
      </c>
      <c r="C115" s="89">
        <f>OBSOLETO!R244</f>
        <v>23.28</v>
      </c>
      <c r="D115" s="90" t="str">
        <f>OBSOLETO!S244</f>
        <v>m³</v>
      </c>
      <c r="E115" s="91" t="s">
        <v>28</v>
      </c>
      <c r="F115" s="90">
        <v>70190145</v>
      </c>
      <c r="G115" s="389">
        <v>136.94999999999999</v>
      </c>
      <c r="H115" s="92">
        <v>0</v>
      </c>
      <c r="I115" s="224">
        <f t="shared" si="61"/>
        <v>0</v>
      </c>
      <c r="J115" s="313">
        <f t="shared" si="62"/>
        <v>3188.2</v>
      </c>
    </row>
    <row r="116" spans="1:10" ht="25.5">
      <c r="A116" s="90" t="str">
        <f>OBSOLETO!D247</f>
        <v>6.3.4</v>
      </c>
      <c r="B116" s="47" t="str">
        <f>OBSOLETO!E247</f>
        <v>Retroescavadeira sobre rodas com carregadeira, Tração 4X4, Potência LÍQ. 88 HP, Caçamba Carreg. Cap. Mín. 1 m³, Caçamba Retro Cap. 0,26 m³, peso operacional mín. 6.674 KG, profundidade de escavação máx. 4,37 m</v>
      </c>
      <c r="C116" s="89">
        <f>OBSOLETO!R249</f>
        <v>92.800000000000011</v>
      </c>
      <c r="D116" s="90" t="str">
        <f>OBSOLETO!S249</f>
        <v>CHP</v>
      </c>
      <c r="E116" s="90">
        <v>5678</v>
      </c>
      <c r="F116" s="91" t="s">
        <v>28</v>
      </c>
      <c r="G116" s="389">
        <v>153.33000000000001</v>
      </c>
      <c r="H116" s="92">
        <f>BDI!$E$19</f>
        <v>0.24117279049169804</v>
      </c>
      <c r="I116" s="213">
        <f t="shared" si="61"/>
        <v>36.979999999999997</v>
      </c>
      <c r="J116" s="313">
        <f t="shared" si="62"/>
        <v>17660.77</v>
      </c>
    </row>
    <row r="117" spans="1:10" ht="25.5">
      <c r="A117" s="90" t="str">
        <f>OBSOLETO!D252</f>
        <v>6.3.5</v>
      </c>
      <c r="B117" s="47" t="str">
        <f>OBSOLETO!E252</f>
        <v>Retroescavadeira sobre rodas com carregadeira, Tração 4X4, Potência LÍQ. 88 HP, Caçamba Carreg. Cap. Mín. 1 m³, Caçamba Retro Cap. 0,26 m³, peso operacional mín. 6.674 KG, profundidade de escavação máx. 4,37 m</v>
      </c>
      <c r="C117" s="89">
        <f>OBSOLETO!R254</f>
        <v>23.200000000000003</v>
      </c>
      <c r="D117" s="90" t="str">
        <f>OBSOLETO!S254</f>
        <v>CHI</v>
      </c>
      <c r="E117" s="90">
        <v>5679</v>
      </c>
      <c r="F117" s="91" t="s">
        <v>28</v>
      </c>
      <c r="G117" s="389">
        <v>65.69</v>
      </c>
      <c r="H117" s="92">
        <f>BDI!$E$19</f>
        <v>0.24117279049169804</v>
      </c>
      <c r="I117" s="213">
        <f t="shared" si="61"/>
        <v>15.84</v>
      </c>
      <c r="J117" s="313">
        <f t="shared" si="62"/>
        <v>1891.5</v>
      </c>
    </row>
    <row r="118" spans="1:10">
      <c r="A118" s="90" t="str">
        <f>OBSOLETO!D257</f>
        <v>6.3.6</v>
      </c>
      <c r="B118" s="47" t="str">
        <f>OBSOLETO!E257</f>
        <v xml:space="preserve">Escoramento Descontínuo </v>
      </c>
      <c r="C118" s="168">
        <f>OBSOLETO!R262</f>
        <v>146</v>
      </c>
      <c r="D118" s="169" t="str">
        <f>OBSOLETO!S262</f>
        <v>m²</v>
      </c>
      <c r="E118" s="90">
        <v>101576</v>
      </c>
      <c r="F118" s="91" t="s">
        <v>28</v>
      </c>
      <c r="G118" s="32">
        <v>47.63</v>
      </c>
      <c r="H118" s="92">
        <f>BDI!$E$19</f>
        <v>0.24117279049169804</v>
      </c>
      <c r="I118" s="216">
        <f t="shared" si="61"/>
        <v>11.49</v>
      </c>
      <c r="J118" s="313">
        <f t="shared" si="62"/>
        <v>8631.52</v>
      </c>
    </row>
    <row r="119" spans="1:10" ht="25.5">
      <c r="A119" s="90" t="str">
        <f>OBSOLETO!D265</f>
        <v>6.3.7</v>
      </c>
      <c r="B119" s="47" t="str">
        <f>OBSOLETO!E265</f>
        <v>Lastro de vala com preparo de fundo, largura menor que 1,50m, com camada de areia, lançamento manual, em local com nível alto de interferência</v>
      </c>
      <c r="C119" s="89">
        <f>OBSOLETO!R267</f>
        <v>34.92</v>
      </c>
      <c r="D119" s="90" t="str">
        <f>OBSOLETO!S267</f>
        <v>m³</v>
      </c>
      <c r="E119" s="90">
        <v>101618</v>
      </c>
      <c r="F119" s="91" t="s">
        <v>28</v>
      </c>
      <c r="G119" s="389">
        <v>211.93</v>
      </c>
      <c r="H119" s="92">
        <f>BDI!$E$19</f>
        <v>0.24117279049169804</v>
      </c>
      <c r="I119" s="213">
        <f t="shared" si="61"/>
        <v>51.11</v>
      </c>
      <c r="J119" s="313">
        <f t="shared" si="62"/>
        <v>9185.36</v>
      </c>
    </row>
    <row r="120" spans="1:10">
      <c r="A120" s="90" t="str">
        <f>OBSOLETO!D270</f>
        <v>6.3.8</v>
      </c>
      <c r="B120" s="47" t="str">
        <f>OBSOLETO!E270</f>
        <v>Reaterro mecanizado de vala</v>
      </c>
      <c r="C120" s="89">
        <f>OBSOLETO!R272</f>
        <v>542.96877603867586</v>
      </c>
      <c r="D120" s="90" t="str">
        <f>OBSOLETO!S272</f>
        <v>m³</v>
      </c>
      <c r="E120" s="90">
        <v>93368</v>
      </c>
      <c r="F120" s="91" t="s">
        <v>28</v>
      </c>
      <c r="G120" s="389">
        <v>18.28</v>
      </c>
      <c r="H120" s="92">
        <f>BDI!$E$19</f>
        <v>0.24117279049169804</v>
      </c>
      <c r="I120" s="213">
        <f t="shared" si="61"/>
        <v>4.41</v>
      </c>
      <c r="J120" s="313">
        <f t="shared" si="62"/>
        <v>12319.96</v>
      </c>
    </row>
    <row r="121" spans="1:10">
      <c r="A121" s="90" t="str">
        <f>OBSOLETO!D275</f>
        <v>6.3.9</v>
      </c>
      <c r="B121" s="47" t="str">
        <f>OBSOLETO!E275</f>
        <v>Sub-base em brita ou macadame hidráulico (B)</v>
      </c>
      <c r="C121" s="89">
        <f>OBSOLETO!R277</f>
        <v>52.38</v>
      </c>
      <c r="D121" s="90" t="str">
        <f>OBSOLETO!S277</f>
        <v>m³</v>
      </c>
      <c r="E121" s="91" t="s">
        <v>28</v>
      </c>
      <c r="F121" s="90">
        <v>70090091</v>
      </c>
      <c r="G121" s="389">
        <v>170.15</v>
      </c>
      <c r="H121" s="92">
        <v>0</v>
      </c>
      <c r="I121" s="213">
        <f t="shared" si="61"/>
        <v>0</v>
      </c>
      <c r="J121" s="313">
        <f t="shared" si="62"/>
        <v>8912.4599999999991</v>
      </c>
    </row>
    <row r="122" spans="1:10">
      <c r="A122" s="90" t="str">
        <f>OBSOLETO!D280</f>
        <v>6.3.10</v>
      </c>
      <c r="B122" s="47" t="str">
        <f>OBSOLETO!E280</f>
        <v>Pintura de ligação em emulsão RR-2C</v>
      </c>
      <c r="C122" s="89">
        <f>OBSOLETO!R282</f>
        <v>465.6</v>
      </c>
      <c r="D122" s="90" t="str">
        <f>OBSOLETO!S282</f>
        <v>m²</v>
      </c>
      <c r="E122" s="91" t="s">
        <v>28</v>
      </c>
      <c r="F122" s="90">
        <v>70090093</v>
      </c>
      <c r="G122" s="389">
        <v>20.74</v>
      </c>
      <c r="H122" s="92">
        <v>0</v>
      </c>
      <c r="I122" s="213">
        <f t="shared" si="61"/>
        <v>0</v>
      </c>
      <c r="J122" s="313">
        <f t="shared" si="62"/>
        <v>9656.5400000000009</v>
      </c>
    </row>
    <row r="123" spans="1:10">
      <c r="A123" s="90" t="str">
        <f>OBSOLETO!D285</f>
        <v>6.3.11</v>
      </c>
      <c r="B123" s="47" t="str">
        <f>OBSOLETO!E285</f>
        <v>Capa de concreto asfáltico (B) (e=5cm)</v>
      </c>
      <c r="C123" s="89">
        <f>OBSOLETO!R287</f>
        <v>23.28</v>
      </c>
      <c r="D123" s="90" t="str">
        <f>OBSOLETO!S287</f>
        <v>m³</v>
      </c>
      <c r="E123" s="91" t="s">
        <v>28</v>
      </c>
      <c r="F123" s="90">
        <v>70090095</v>
      </c>
      <c r="G123" s="389">
        <v>2117.17</v>
      </c>
      <c r="H123" s="92">
        <v>0</v>
      </c>
      <c r="I123" s="213">
        <f t="shared" si="61"/>
        <v>0</v>
      </c>
      <c r="J123" s="313">
        <f t="shared" si="62"/>
        <v>49287.72</v>
      </c>
    </row>
    <row r="124" spans="1:10" ht="21" customHeight="1">
      <c r="A124" s="411" t="str">
        <f>OBSOLETO!C290</f>
        <v>6.4</v>
      </c>
      <c r="B124" s="112" t="str">
        <f>OBSOLETO!D290</f>
        <v>Preparação do solo, abertura de valas, compactação e recomposição do pavimento - Intervenções</v>
      </c>
      <c r="C124" s="113"/>
      <c r="D124" s="113"/>
      <c r="E124" s="113"/>
      <c r="F124" s="113"/>
      <c r="G124" s="113"/>
      <c r="H124" s="113"/>
      <c r="I124" s="214"/>
      <c r="J124" s="418"/>
    </row>
    <row r="125" spans="1:10">
      <c r="A125" s="90" t="str">
        <f>OBSOLETO!D292</f>
        <v>6.4.1</v>
      </c>
      <c r="B125" s="47" t="str">
        <f>OBSOLETO!E292</f>
        <v xml:space="preserve">Definição e demarcação da área de reparo com disco de corte </v>
      </c>
      <c r="C125" s="89">
        <f>OBSOLETO!R295</f>
        <v>56</v>
      </c>
      <c r="D125" s="90" t="str">
        <f>OBSOLETO!S295</f>
        <v>m</v>
      </c>
      <c r="E125" s="91" t="s">
        <v>28</v>
      </c>
      <c r="F125" s="90">
        <v>70190008</v>
      </c>
      <c r="G125" s="389">
        <f>G113</f>
        <v>7.51</v>
      </c>
      <c r="H125" s="92">
        <v>0</v>
      </c>
      <c r="I125" s="215">
        <f t="shared" ref="I125:I134" si="63">ROUND(G125*H125,2)</f>
        <v>0</v>
      </c>
      <c r="J125" s="313">
        <f t="shared" ref="J125:J134" si="64">ROUND(IF(ISNUMBER(I125),C125*(G125+I125),C125*G125),2)</f>
        <v>420.56</v>
      </c>
    </row>
    <row r="126" spans="1:10">
      <c r="A126" s="90" t="str">
        <f>OBSOLETO!D298</f>
        <v>6.4.2</v>
      </c>
      <c r="B126" s="47" t="str">
        <f>OBSOLETO!E298</f>
        <v>Demolição de Pavimentação Asfáltica com utilização de martelo perfurador, espessura até 15cm, exclusive carga e transporte</v>
      </c>
      <c r="C126" s="89">
        <f>OBSOLETO!R301</f>
        <v>28</v>
      </c>
      <c r="D126" s="90" t="str">
        <f>OBSOLETO!S301</f>
        <v>m²</v>
      </c>
      <c r="E126" s="91" t="s">
        <v>116</v>
      </c>
      <c r="F126" s="91" t="s">
        <v>28</v>
      </c>
      <c r="G126" s="389">
        <f>G114</f>
        <v>19.64</v>
      </c>
      <c r="H126" s="92">
        <f>BDI!$E$19</f>
        <v>0.24117279049169804</v>
      </c>
      <c r="I126" s="213">
        <f t="shared" si="63"/>
        <v>4.74</v>
      </c>
      <c r="J126" s="313">
        <f t="shared" si="64"/>
        <v>682.64</v>
      </c>
    </row>
    <row r="127" spans="1:10">
      <c r="A127" s="90" t="str">
        <f>OBSOLETO!D304</f>
        <v>6.4.3</v>
      </c>
      <c r="B127" s="47" t="str">
        <f>OBSOLETO!E304</f>
        <v>Remoção de entulho inclusive a carga, transporte e descarga em bota fora a qualquer distância</v>
      </c>
      <c r="C127" s="89">
        <f>OBSOLETO!R306</f>
        <v>1.4</v>
      </c>
      <c r="D127" s="90" t="str">
        <f>OBSOLETO!S306</f>
        <v>m³</v>
      </c>
      <c r="E127" s="91" t="s">
        <v>28</v>
      </c>
      <c r="F127" s="90">
        <v>70190145</v>
      </c>
      <c r="G127" s="389">
        <v>136.94999999999999</v>
      </c>
      <c r="H127" s="92">
        <v>0</v>
      </c>
      <c r="I127" s="213">
        <f t="shared" si="63"/>
        <v>0</v>
      </c>
      <c r="J127" s="313">
        <f t="shared" si="64"/>
        <v>191.73</v>
      </c>
    </row>
    <row r="128" spans="1:10" ht="25.5">
      <c r="A128" s="90" t="str">
        <f>OBSOLETO!D309</f>
        <v>6.4.4</v>
      </c>
      <c r="B128" s="47" t="str">
        <f>OBSOLETO!E309</f>
        <v>Retroescavadeira sobre rodas com carregadeira, Tração 4X4, Potência LÍQ. 88 HP, Caçamba Carreg. Cap. Mín. 1 m³, Caçamba Retro Cap. 0,26 m³, peso operacional mín. 6.674 KG, profundidade de escavação máx. 4,37 m</v>
      </c>
      <c r="C128" s="89">
        <f>OBSOLETO!R311</f>
        <v>56</v>
      </c>
      <c r="D128" s="90" t="str">
        <f>OBSOLETO!S311</f>
        <v>CHP</v>
      </c>
      <c r="E128" s="90">
        <v>5678</v>
      </c>
      <c r="F128" s="91" t="s">
        <v>28</v>
      </c>
      <c r="G128" s="389">
        <v>153.33000000000001</v>
      </c>
      <c r="H128" s="92">
        <f>BDI!$E$19</f>
        <v>0.24117279049169804</v>
      </c>
      <c r="I128" s="213">
        <f t="shared" si="63"/>
        <v>36.979999999999997</v>
      </c>
      <c r="J128" s="313">
        <f t="shared" si="64"/>
        <v>10657.36</v>
      </c>
    </row>
    <row r="129" spans="1:10" ht="25.5">
      <c r="A129" s="90" t="str">
        <f>OBSOLETO!D314</f>
        <v>6.4.5</v>
      </c>
      <c r="B129" s="47" t="str">
        <f>OBSOLETO!E314</f>
        <v>Retroescavadeira sobre rodas com carregadeira, Tração 4X4, Potência LÍQ. 88 HP, Caçamba Carreg. Cap. Mín. 1 m³, Caçamba Retro Cap. 0,26 m³, peso operacional mín. 6.674 KG, profundidade de escavação máx. 4,37 m</v>
      </c>
      <c r="C129" s="89">
        <f>OBSOLETO!R316</f>
        <v>14</v>
      </c>
      <c r="D129" s="90" t="str">
        <f>OBSOLETO!S316</f>
        <v>CHI</v>
      </c>
      <c r="E129" s="90">
        <v>5679</v>
      </c>
      <c r="F129" s="91" t="s">
        <v>28</v>
      </c>
      <c r="G129" s="389">
        <v>65.69</v>
      </c>
      <c r="H129" s="92">
        <f>BDI!$E$19</f>
        <v>0.24117279049169804</v>
      </c>
      <c r="I129" s="213">
        <f t="shared" si="63"/>
        <v>15.84</v>
      </c>
      <c r="J129" s="313">
        <f t="shared" si="64"/>
        <v>1141.42</v>
      </c>
    </row>
    <row r="130" spans="1:10">
      <c r="A130" s="90" t="str">
        <f>OBSOLETO!D319</f>
        <v>6.4.6</v>
      </c>
      <c r="B130" s="47" t="str">
        <f>OBSOLETO!E319</f>
        <v xml:space="preserve">Escoramento Contínuo </v>
      </c>
      <c r="C130" s="168">
        <f>OBSOLETO!R324</f>
        <v>84</v>
      </c>
      <c r="D130" s="169" t="str">
        <f>OBSOLETO!S324</f>
        <v>m²</v>
      </c>
      <c r="E130" s="26" t="s">
        <v>1335</v>
      </c>
      <c r="F130" s="91" t="s">
        <v>28</v>
      </c>
      <c r="G130" s="32">
        <f>G61</f>
        <v>97.45</v>
      </c>
      <c r="H130" s="92">
        <f>BDI!$E$19</f>
        <v>0.24117279049169804</v>
      </c>
      <c r="I130" s="216">
        <f t="shared" si="63"/>
        <v>23.5</v>
      </c>
      <c r="J130" s="313">
        <f t="shared" si="64"/>
        <v>10159.799999999999</v>
      </c>
    </row>
    <row r="131" spans="1:10">
      <c r="A131" s="90" t="str">
        <f>OBSOLETO!D327</f>
        <v>6.4.7</v>
      </c>
      <c r="B131" s="47" t="str">
        <f>OBSOLETO!E327</f>
        <v>Reaterro mecanizado de vala</v>
      </c>
      <c r="C131" s="89">
        <f>OBSOLETO!R329</f>
        <v>42</v>
      </c>
      <c r="D131" s="90" t="str">
        <f>OBSOLETO!S335</f>
        <v>m³</v>
      </c>
      <c r="E131" s="26" t="s">
        <v>1401</v>
      </c>
      <c r="F131" s="26" t="s">
        <v>28</v>
      </c>
      <c r="G131" s="389">
        <f>G62</f>
        <v>24.08</v>
      </c>
      <c r="H131" s="92">
        <f>BDI!$E$19</f>
        <v>0.24117279049169804</v>
      </c>
      <c r="I131" s="213">
        <f t="shared" si="63"/>
        <v>5.81</v>
      </c>
      <c r="J131" s="313">
        <f t="shared" si="64"/>
        <v>1255.3800000000001</v>
      </c>
    </row>
    <row r="132" spans="1:10">
      <c r="A132" s="90" t="str">
        <f>OBSOLETO!D332</f>
        <v>6.4.8</v>
      </c>
      <c r="B132" s="47" t="str">
        <f>OBSOLETO!E332</f>
        <v>Sub-base em brita ou macadame hidráulico (B)</v>
      </c>
      <c r="C132" s="89">
        <f>OBSOLETO!R335</f>
        <v>4.2</v>
      </c>
      <c r="D132" s="90" t="str">
        <f>OBSOLETO!S335</f>
        <v>m³</v>
      </c>
      <c r="E132" s="91" t="s">
        <v>28</v>
      </c>
      <c r="F132" s="90">
        <v>70090091</v>
      </c>
      <c r="G132" s="389">
        <v>170.15</v>
      </c>
      <c r="H132" s="92">
        <v>0</v>
      </c>
      <c r="I132" s="213">
        <f t="shared" si="63"/>
        <v>0</v>
      </c>
      <c r="J132" s="313">
        <f t="shared" si="64"/>
        <v>714.63</v>
      </c>
    </row>
    <row r="133" spans="1:10">
      <c r="A133" s="90" t="str">
        <f>OBSOLETO!D338</f>
        <v>6.4.9</v>
      </c>
      <c r="B133" s="47" t="str">
        <f>OBSOLETO!E338</f>
        <v>Pintura de ligação em emulsão RR-2C</v>
      </c>
      <c r="C133" s="89">
        <f>OBSOLETO!R340</f>
        <v>28</v>
      </c>
      <c r="D133" s="90" t="str">
        <f>OBSOLETO!S340</f>
        <v>m²</v>
      </c>
      <c r="E133" s="91" t="s">
        <v>28</v>
      </c>
      <c r="F133" s="90">
        <v>70090093</v>
      </c>
      <c r="G133" s="389">
        <v>20.74</v>
      </c>
      <c r="H133" s="92">
        <v>0</v>
      </c>
      <c r="I133" s="213">
        <f t="shared" si="63"/>
        <v>0</v>
      </c>
      <c r="J133" s="313">
        <f t="shared" si="64"/>
        <v>580.72</v>
      </c>
    </row>
    <row r="134" spans="1:10">
      <c r="A134" s="90" t="str">
        <f>OBSOLETO!D343</f>
        <v>6.4.10</v>
      </c>
      <c r="B134" s="47" t="str">
        <f>OBSOLETO!E343</f>
        <v>Capa de concreto asfáltico (B) (e=5cm)</v>
      </c>
      <c r="C134" s="89">
        <f>OBSOLETO!R345</f>
        <v>1.4000000000000001</v>
      </c>
      <c r="D134" s="90" t="str">
        <f>OBSOLETO!S345</f>
        <v>m³</v>
      </c>
      <c r="E134" s="91" t="s">
        <v>28</v>
      </c>
      <c r="F134" s="90">
        <v>70090095</v>
      </c>
      <c r="G134" s="389">
        <v>2117.17</v>
      </c>
      <c r="H134" s="92">
        <v>0</v>
      </c>
      <c r="I134" s="213">
        <f t="shared" si="63"/>
        <v>0</v>
      </c>
      <c r="J134" s="313">
        <f t="shared" si="64"/>
        <v>2964.04</v>
      </c>
    </row>
    <row r="135" spans="1:10">
      <c r="A135" s="411" t="s">
        <v>454</v>
      </c>
      <c r="B135" s="112" t="s">
        <v>1141</v>
      </c>
      <c r="C135" s="113"/>
      <c r="D135" s="113"/>
      <c r="E135" s="113"/>
      <c r="F135" s="113"/>
      <c r="G135" s="113"/>
      <c r="H135" s="113"/>
      <c r="I135" s="214"/>
      <c r="J135" s="418"/>
    </row>
    <row r="136" spans="1:10" ht="25.5">
      <c r="A136" s="27" t="s">
        <v>455</v>
      </c>
      <c r="B136" s="47" t="s">
        <v>209</v>
      </c>
      <c r="C136" s="93">
        <v>1</v>
      </c>
      <c r="D136" s="27" t="s">
        <v>987</v>
      </c>
      <c r="E136" s="26" t="s">
        <v>28</v>
      </c>
      <c r="F136" s="26" t="s">
        <v>235</v>
      </c>
      <c r="G136" s="32">
        <v>286.88</v>
      </c>
      <c r="H136" s="126">
        <v>0</v>
      </c>
      <c r="I136" s="213">
        <f t="shared" ref="I136:I157" si="65">ROUND(G136*H136,2)</f>
        <v>0</v>
      </c>
      <c r="J136" s="313">
        <f t="shared" ref="J136:J157" si="66">ROUND(IF(ISNUMBER(I136),C136*(G136+I136),C136*G136),2)</f>
        <v>286.88</v>
      </c>
    </row>
    <row r="137" spans="1:10" ht="25.5">
      <c r="A137" s="27" t="s">
        <v>456</v>
      </c>
      <c r="B137" s="47" t="s">
        <v>210</v>
      </c>
      <c r="C137" s="93">
        <v>3</v>
      </c>
      <c r="D137" s="27" t="s">
        <v>987</v>
      </c>
      <c r="E137" s="26" t="s">
        <v>28</v>
      </c>
      <c r="F137" s="26" t="s">
        <v>236</v>
      </c>
      <c r="G137" s="32">
        <v>172.08</v>
      </c>
      <c r="H137" s="126">
        <v>0</v>
      </c>
      <c r="I137" s="213">
        <f t="shared" si="65"/>
        <v>0</v>
      </c>
      <c r="J137" s="313">
        <f t="shared" si="66"/>
        <v>516.24</v>
      </c>
    </row>
    <row r="138" spans="1:10">
      <c r="A138" s="27" t="s">
        <v>457</v>
      </c>
      <c r="B138" s="47" t="s">
        <v>222</v>
      </c>
      <c r="C138" s="93">
        <v>2</v>
      </c>
      <c r="D138" s="27" t="s">
        <v>987</v>
      </c>
      <c r="E138" s="27">
        <v>1183</v>
      </c>
      <c r="F138" s="26" t="s">
        <v>28</v>
      </c>
      <c r="G138" s="32">
        <v>22.47</v>
      </c>
      <c r="H138" s="126">
        <f>BDI!$E$35</f>
        <v>0.14012827909185233</v>
      </c>
      <c r="I138" s="213">
        <f t="shared" si="65"/>
        <v>3.15</v>
      </c>
      <c r="J138" s="313">
        <f t="shared" si="66"/>
        <v>51.24</v>
      </c>
    </row>
    <row r="139" spans="1:10">
      <c r="A139" s="27" t="s">
        <v>458</v>
      </c>
      <c r="B139" s="47" t="s">
        <v>211</v>
      </c>
      <c r="C139" s="93">
        <v>1</v>
      </c>
      <c r="D139" s="27" t="s">
        <v>987</v>
      </c>
      <c r="E139" s="27">
        <v>1824</v>
      </c>
      <c r="F139" s="26" t="s">
        <v>28</v>
      </c>
      <c r="G139" s="32">
        <v>92.77</v>
      </c>
      <c r="H139" s="126">
        <f>BDI!$E$35</f>
        <v>0.14012827909185233</v>
      </c>
      <c r="I139" s="213">
        <f t="shared" si="65"/>
        <v>13</v>
      </c>
      <c r="J139" s="313">
        <f t="shared" si="66"/>
        <v>105.77</v>
      </c>
    </row>
    <row r="140" spans="1:10" ht="25.5">
      <c r="A140" s="27" t="s">
        <v>459</v>
      </c>
      <c r="B140" s="47" t="s">
        <v>212</v>
      </c>
      <c r="C140" s="93">
        <v>1</v>
      </c>
      <c r="D140" s="27" t="s">
        <v>987</v>
      </c>
      <c r="E140" s="26" t="s">
        <v>28</v>
      </c>
      <c r="F140" s="26" t="s">
        <v>237</v>
      </c>
      <c r="G140" s="32">
        <v>789.95</v>
      </c>
      <c r="H140" s="126">
        <v>0</v>
      </c>
      <c r="I140" s="213">
        <f t="shared" si="65"/>
        <v>0</v>
      </c>
      <c r="J140" s="313">
        <f t="shared" si="66"/>
        <v>789.95</v>
      </c>
    </row>
    <row r="141" spans="1:10" ht="25.5">
      <c r="A141" s="27" t="s">
        <v>460</v>
      </c>
      <c r="B141" s="47" t="s">
        <v>213</v>
      </c>
      <c r="C141" s="93">
        <v>2</v>
      </c>
      <c r="D141" s="27" t="s">
        <v>987</v>
      </c>
      <c r="E141" s="26" t="s">
        <v>28</v>
      </c>
      <c r="F141" s="26" t="s">
        <v>214</v>
      </c>
      <c r="G141" s="32">
        <v>922.96</v>
      </c>
      <c r="H141" s="126">
        <v>0</v>
      </c>
      <c r="I141" s="213">
        <f t="shared" si="65"/>
        <v>0</v>
      </c>
      <c r="J141" s="313">
        <f t="shared" si="66"/>
        <v>1845.92</v>
      </c>
    </row>
    <row r="142" spans="1:10">
      <c r="A142" s="27" t="s">
        <v>461</v>
      </c>
      <c r="B142" s="47" t="s">
        <v>215</v>
      </c>
      <c r="C142" s="93">
        <v>12</v>
      </c>
      <c r="D142" s="27" t="s">
        <v>987</v>
      </c>
      <c r="E142" s="128">
        <v>3825</v>
      </c>
      <c r="F142" s="125" t="s">
        <v>28</v>
      </c>
      <c r="G142" s="32">
        <v>15.85</v>
      </c>
      <c r="H142" s="126">
        <f>BDI!$E$35</f>
        <v>0.14012827909185233</v>
      </c>
      <c r="I142" s="213">
        <f t="shared" si="65"/>
        <v>2.2200000000000002</v>
      </c>
      <c r="J142" s="313">
        <f t="shared" si="66"/>
        <v>216.84</v>
      </c>
    </row>
    <row r="143" spans="1:10">
      <c r="A143" s="27" t="s">
        <v>462</v>
      </c>
      <c r="B143" s="47" t="s">
        <v>216</v>
      </c>
      <c r="C143" s="93">
        <v>6</v>
      </c>
      <c r="D143" s="27" t="s">
        <v>987</v>
      </c>
      <c r="E143" s="128">
        <v>3827</v>
      </c>
      <c r="F143" s="125" t="s">
        <v>28</v>
      </c>
      <c r="G143" s="32">
        <v>34.619999999999997</v>
      </c>
      <c r="H143" s="126">
        <f>BDI!$E$35</f>
        <v>0.14012827909185233</v>
      </c>
      <c r="I143" s="213">
        <f t="shared" si="65"/>
        <v>4.8499999999999996</v>
      </c>
      <c r="J143" s="313">
        <f t="shared" si="66"/>
        <v>236.82</v>
      </c>
    </row>
    <row r="144" spans="1:10" ht="25.5">
      <c r="A144" s="27" t="s">
        <v>463</v>
      </c>
      <c r="B144" s="47" t="s">
        <v>218</v>
      </c>
      <c r="C144" s="93">
        <v>1</v>
      </c>
      <c r="D144" s="27" t="s">
        <v>987</v>
      </c>
      <c r="E144" s="125" t="s">
        <v>28</v>
      </c>
      <c r="F144" s="125" t="s">
        <v>217</v>
      </c>
      <c r="G144" s="32">
        <v>451.68</v>
      </c>
      <c r="H144" s="126">
        <v>0</v>
      </c>
      <c r="I144" s="213">
        <f t="shared" si="65"/>
        <v>0</v>
      </c>
      <c r="J144" s="313">
        <f t="shared" si="66"/>
        <v>451.68</v>
      </c>
    </row>
    <row r="145" spans="1:14" ht="25.5">
      <c r="A145" s="27" t="s">
        <v>464</v>
      </c>
      <c r="B145" s="47" t="s">
        <v>219</v>
      </c>
      <c r="C145" s="93">
        <v>3</v>
      </c>
      <c r="D145" s="27" t="s">
        <v>987</v>
      </c>
      <c r="E145" s="125" t="s">
        <v>28</v>
      </c>
      <c r="F145" s="125" t="s">
        <v>220</v>
      </c>
      <c r="G145" s="32">
        <v>577.07000000000005</v>
      </c>
      <c r="H145" s="126">
        <v>0</v>
      </c>
      <c r="I145" s="213">
        <f t="shared" si="65"/>
        <v>0</v>
      </c>
      <c r="J145" s="313">
        <f t="shared" si="66"/>
        <v>1731.21</v>
      </c>
    </row>
    <row r="146" spans="1:14">
      <c r="A146" s="27" t="s">
        <v>465</v>
      </c>
      <c r="B146" s="47" t="s">
        <v>221</v>
      </c>
      <c r="C146" s="93">
        <v>3</v>
      </c>
      <c r="D146" s="27" t="s">
        <v>987</v>
      </c>
      <c r="E146" s="27">
        <v>11321</v>
      </c>
      <c r="F146" s="26" t="s">
        <v>28</v>
      </c>
      <c r="G146" s="32">
        <v>31.09</v>
      </c>
      <c r="H146" s="126">
        <f>BDI!$E$35</f>
        <v>0.14012827909185233</v>
      </c>
      <c r="I146" s="213">
        <f t="shared" si="65"/>
        <v>4.3600000000000003</v>
      </c>
      <c r="J146" s="313">
        <f t="shared" si="66"/>
        <v>106.35</v>
      </c>
    </row>
    <row r="147" spans="1:14">
      <c r="A147" s="27" t="s">
        <v>466</v>
      </c>
      <c r="B147" s="47" t="s">
        <v>778</v>
      </c>
      <c r="C147" s="93">
        <v>5</v>
      </c>
      <c r="D147" s="27" t="s">
        <v>987</v>
      </c>
      <c r="E147" s="128">
        <v>20327</v>
      </c>
      <c r="F147" s="125" t="s">
        <v>28</v>
      </c>
      <c r="G147" s="255">
        <v>20.29</v>
      </c>
      <c r="H147" s="126">
        <f>BDI!$E$35</f>
        <v>0.14012827909185233</v>
      </c>
      <c r="I147" s="213">
        <f t="shared" si="65"/>
        <v>2.84</v>
      </c>
      <c r="J147" s="313">
        <f t="shared" si="66"/>
        <v>115.65</v>
      </c>
    </row>
    <row r="148" spans="1:14" ht="25.5">
      <c r="A148" s="27" t="s">
        <v>467</v>
      </c>
      <c r="B148" s="47" t="s">
        <v>223</v>
      </c>
      <c r="C148" s="93">
        <v>3</v>
      </c>
      <c r="D148" s="27" t="s">
        <v>987</v>
      </c>
      <c r="E148" s="26" t="s">
        <v>28</v>
      </c>
      <c r="F148" s="26" t="s">
        <v>224</v>
      </c>
      <c r="G148" s="32">
        <v>521.82000000000005</v>
      </c>
      <c r="H148" s="126">
        <v>0</v>
      </c>
      <c r="I148" s="213">
        <f t="shared" si="65"/>
        <v>0</v>
      </c>
      <c r="J148" s="313">
        <f t="shared" si="66"/>
        <v>1565.46</v>
      </c>
    </row>
    <row r="149" spans="1:14" s="43" customFormat="1">
      <c r="A149" s="27" t="s">
        <v>468</v>
      </c>
      <c r="B149" s="47" t="s">
        <v>225</v>
      </c>
      <c r="C149" s="93">
        <v>3</v>
      </c>
      <c r="D149" s="27" t="s">
        <v>987</v>
      </c>
      <c r="E149" s="27">
        <v>7088</v>
      </c>
      <c r="F149" s="26" t="s">
        <v>28</v>
      </c>
      <c r="G149" s="32">
        <v>57.76</v>
      </c>
      <c r="H149" s="126">
        <f>BDI!$E$35</f>
        <v>0.14012827909185233</v>
      </c>
      <c r="I149" s="213">
        <f t="shared" si="65"/>
        <v>8.09</v>
      </c>
      <c r="J149" s="313">
        <f t="shared" si="66"/>
        <v>197.55</v>
      </c>
      <c r="L149" s="1"/>
      <c r="M149" s="1"/>
      <c r="N149" s="1"/>
    </row>
    <row r="150" spans="1:14">
      <c r="A150" s="27" t="s">
        <v>469</v>
      </c>
      <c r="B150" s="47" t="s">
        <v>226</v>
      </c>
      <c r="C150" s="93">
        <v>1</v>
      </c>
      <c r="D150" s="27" t="s">
        <v>987</v>
      </c>
      <c r="E150" s="27">
        <v>11379</v>
      </c>
      <c r="F150" s="26" t="s">
        <v>28</v>
      </c>
      <c r="G150" s="32">
        <v>82.18</v>
      </c>
      <c r="H150" s="126">
        <f>BDI!$E$35</f>
        <v>0.14012827909185233</v>
      </c>
      <c r="I150" s="213">
        <f t="shared" si="65"/>
        <v>11.52</v>
      </c>
      <c r="J150" s="313">
        <f t="shared" si="66"/>
        <v>93.7</v>
      </c>
    </row>
    <row r="151" spans="1:14">
      <c r="A151" s="27" t="s">
        <v>470</v>
      </c>
      <c r="B151" s="47" t="s">
        <v>227</v>
      </c>
      <c r="C151" s="93">
        <v>2</v>
      </c>
      <c r="D151" s="27" t="s">
        <v>987</v>
      </c>
      <c r="E151" s="27">
        <v>41892</v>
      </c>
      <c r="F151" s="26" t="s">
        <v>28</v>
      </c>
      <c r="G151" s="32">
        <v>122.38</v>
      </c>
      <c r="H151" s="126">
        <f>BDI!$E$35</f>
        <v>0.14012827909185233</v>
      </c>
      <c r="I151" s="213">
        <f t="shared" si="65"/>
        <v>17.149999999999999</v>
      </c>
      <c r="J151" s="313">
        <f t="shared" si="66"/>
        <v>279.06</v>
      </c>
    </row>
    <row r="152" spans="1:14">
      <c r="A152" s="27" t="s">
        <v>471</v>
      </c>
      <c r="B152" s="47" t="s">
        <v>228</v>
      </c>
      <c r="C152" s="93">
        <v>4</v>
      </c>
      <c r="D152" s="27" t="s">
        <v>987</v>
      </c>
      <c r="E152" s="27">
        <v>7048</v>
      </c>
      <c r="F152" s="26" t="s">
        <v>28</v>
      </c>
      <c r="G152" s="32">
        <v>26.41</v>
      </c>
      <c r="H152" s="126">
        <f>BDI!$E$35</f>
        <v>0.14012827909185233</v>
      </c>
      <c r="I152" s="213">
        <f t="shared" si="65"/>
        <v>3.7</v>
      </c>
      <c r="J152" s="313">
        <f t="shared" si="66"/>
        <v>120.44</v>
      </c>
    </row>
    <row r="153" spans="1:14">
      <c r="A153" s="27" t="s">
        <v>472</v>
      </c>
      <c r="B153" s="47" t="s">
        <v>229</v>
      </c>
      <c r="C153" s="93">
        <v>155</v>
      </c>
      <c r="D153" s="27" t="s">
        <v>987</v>
      </c>
      <c r="E153" s="27">
        <v>9828</v>
      </c>
      <c r="F153" s="26" t="s">
        <v>28</v>
      </c>
      <c r="G153" s="32">
        <v>133.47</v>
      </c>
      <c r="H153" s="126">
        <f>BDI!$E$35</f>
        <v>0.14012827909185233</v>
      </c>
      <c r="I153" s="213">
        <f t="shared" si="65"/>
        <v>18.7</v>
      </c>
      <c r="J153" s="313">
        <f t="shared" si="66"/>
        <v>23586.35</v>
      </c>
    </row>
    <row r="154" spans="1:14">
      <c r="A154" s="27" t="s">
        <v>473</v>
      </c>
      <c r="B154" s="47" t="s">
        <v>230</v>
      </c>
      <c r="C154" s="93">
        <v>306</v>
      </c>
      <c r="D154" s="394" t="s">
        <v>0</v>
      </c>
      <c r="E154" s="27">
        <v>36380</v>
      </c>
      <c r="F154" s="26" t="s">
        <v>28</v>
      </c>
      <c r="G154" s="32">
        <v>89.16</v>
      </c>
      <c r="H154" s="126">
        <f>BDI!$E$35</f>
        <v>0.14012827909185233</v>
      </c>
      <c r="I154" s="213">
        <f t="shared" si="65"/>
        <v>12.49</v>
      </c>
      <c r="J154" s="313">
        <f t="shared" si="66"/>
        <v>31104.9</v>
      </c>
    </row>
    <row r="155" spans="1:14">
      <c r="A155" s="27" t="s">
        <v>474</v>
      </c>
      <c r="B155" s="47" t="s">
        <v>231</v>
      </c>
      <c r="C155" s="93">
        <v>6</v>
      </c>
      <c r="D155" s="394" t="s">
        <v>0</v>
      </c>
      <c r="E155" s="27">
        <v>36378</v>
      </c>
      <c r="F155" s="26" t="s">
        <v>28</v>
      </c>
      <c r="G155" s="32">
        <v>26.71</v>
      </c>
      <c r="H155" s="126">
        <f>BDI!$E$35</f>
        <v>0.14012827909185233</v>
      </c>
      <c r="I155" s="213">
        <f t="shared" si="65"/>
        <v>3.74</v>
      </c>
      <c r="J155" s="313">
        <f t="shared" si="66"/>
        <v>182.7</v>
      </c>
    </row>
    <row r="156" spans="1:14">
      <c r="A156" s="27" t="s">
        <v>475</v>
      </c>
      <c r="B156" s="47" t="s">
        <v>232</v>
      </c>
      <c r="C156" s="93">
        <v>115</v>
      </c>
      <c r="D156" s="394" t="s">
        <v>0</v>
      </c>
      <c r="E156" s="27">
        <v>36379</v>
      </c>
      <c r="F156" s="26" t="s">
        <v>28</v>
      </c>
      <c r="G156" s="32">
        <v>53.85</v>
      </c>
      <c r="H156" s="126">
        <f>BDI!$E$35</f>
        <v>0.14012827909185233</v>
      </c>
      <c r="I156" s="213">
        <f t="shared" si="65"/>
        <v>7.55</v>
      </c>
      <c r="J156" s="313">
        <f t="shared" si="66"/>
        <v>7061</v>
      </c>
    </row>
    <row r="157" spans="1:14" ht="25.5">
      <c r="A157" s="27" t="s">
        <v>476</v>
      </c>
      <c r="B157" s="47" t="s">
        <v>233</v>
      </c>
      <c r="C157" s="93">
        <v>1</v>
      </c>
      <c r="D157" s="394" t="s">
        <v>129</v>
      </c>
      <c r="E157" s="26" t="s">
        <v>28</v>
      </c>
      <c r="F157" s="26" t="s">
        <v>234</v>
      </c>
      <c r="G157" s="32">
        <v>965.17</v>
      </c>
      <c r="H157" s="126">
        <v>0</v>
      </c>
      <c r="I157" s="213">
        <f t="shared" si="65"/>
        <v>0</v>
      </c>
      <c r="J157" s="313">
        <f t="shared" si="66"/>
        <v>965.17</v>
      </c>
    </row>
    <row r="158" spans="1:14">
      <c r="A158" s="411" t="str">
        <f>OBSOLETO!C349</f>
        <v>6.6</v>
      </c>
      <c r="B158" s="112" t="str">
        <f>OBSOLETO!D349</f>
        <v>Construção de caixa abrigo para o Registro de Gaveta</v>
      </c>
      <c r="C158" s="113"/>
      <c r="D158" s="113"/>
      <c r="E158" s="113"/>
      <c r="F158" s="113"/>
      <c r="G158" s="113"/>
      <c r="H158" s="113"/>
      <c r="I158" s="214"/>
      <c r="J158" s="418"/>
    </row>
    <row r="159" spans="1:14">
      <c r="A159" s="27" t="str">
        <f>OBSOLETO!D351</f>
        <v>6.6.1</v>
      </c>
      <c r="B159" s="124" t="str">
        <f>OBSOLETO!E351</f>
        <v>Tubo PVC DEFOFO, JEI, 1 MPA, DN 200 mm, para rede de água (NBR 7665) (Acesso aos registros)</v>
      </c>
      <c r="C159" s="93">
        <f>OBSOLETO!R351</f>
        <v>1.5</v>
      </c>
      <c r="D159" s="394" t="str">
        <f>OBSOLETO!S351</f>
        <v>m</v>
      </c>
      <c r="E159" s="128">
        <v>9829</v>
      </c>
      <c r="F159" s="125" t="s">
        <v>28</v>
      </c>
      <c r="G159" s="255">
        <v>226.2</v>
      </c>
      <c r="H159" s="126">
        <v>0.16769197716658035</v>
      </c>
      <c r="I159" s="215">
        <f t="shared" ref="I159:I164" si="67">ROUND(G159*H159,2)</f>
        <v>37.93</v>
      </c>
      <c r="J159" s="313">
        <f t="shared" ref="J159:J164" si="68">ROUND(IF(ISNUMBER(I159),C159*(G159+I159),C159*G159),2)</f>
        <v>396.2</v>
      </c>
    </row>
    <row r="160" spans="1:14">
      <c r="A160" s="27" t="str">
        <f>OBSOLETO!D352</f>
        <v>6.6.2</v>
      </c>
      <c r="B160" s="124" t="str">
        <f>OBSOLETO!E352</f>
        <v>Tampão T5 FoFo DN=100mm com tampa articulada para válvula NTS 033</v>
      </c>
      <c r="C160" s="93">
        <f>OBSOLETO!R352</f>
        <v>1</v>
      </c>
      <c r="D160" s="394" t="str">
        <f>OBSOLETO!S352</f>
        <v>Und</v>
      </c>
      <c r="E160" s="125" t="s">
        <v>28</v>
      </c>
      <c r="F160" s="125" t="s">
        <v>169</v>
      </c>
      <c r="G160" s="388">
        <v>97.43</v>
      </c>
      <c r="H160" s="126">
        <v>0</v>
      </c>
      <c r="I160" s="215">
        <f t="shared" si="67"/>
        <v>0</v>
      </c>
      <c r="J160" s="313">
        <f t="shared" si="68"/>
        <v>97.43</v>
      </c>
    </row>
    <row r="161" spans="1:10">
      <c r="A161" s="27" t="str">
        <f>OBSOLETO!D353</f>
        <v>6.6.3</v>
      </c>
      <c r="B161" s="124" t="str">
        <f>OBSOLETO!E353</f>
        <v>Dispositivo de proteção para registro com assentamento de tampa T-5, sem fornecimento</v>
      </c>
      <c r="C161" s="93">
        <f>OBSOLETO!R353</f>
        <v>1</v>
      </c>
      <c r="D161" s="394" t="str">
        <f>OBSOLETO!S353</f>
        <v>Und</v>
      </c>
      <c r="E161" s="125" t="s">
        <v>28</v>
      </c>
      <c r="F161" s="128">
        <v>70070342</v>
      </c>
      <c r="G161" s="388">
        <v>296.7</v>
      </c>
      <c r="H161" s="126">
        <v>0</v>
      </c>
      <c r="I161" s="215">
        <f t="shared" si="67"/>
        <v>0</v>
      </c>
      <c r="J161" s="313">
        <f t="shared" si="68"/>
        <v>296.7</v>
      </c>
    </row>
    <row r="162" spans="1:10">
      <c r="A162" s="27" t="str">
        <f>OBSOLETO!D354</f>
        <v>6.6.4</v>
      </c>
      <c r="B162" s="124" t="str">
        <f>OBSOLETO!E354</f>
        <v>Concreto Estrutural, Fck=25,0MPa</v>
      </c>
      <c r="C162" s="93">
        <f>OBSOLETO!R354</f>
        <v>3.7499999999999999E-2</v>
      </c>
      <c r="D162" s="394" t="str">
        <f>OBSOLETO!S354</f>
        <v>m³</v>
      </c>
      <c r="E162" s="125" t="s">
        <v>28</v>
      </c>
      <c r="F162" s="128">
        <v>70070145</v>
      </c>
      <c r="G162" s="388">
        <v>694.13</v>
      </c>
      <c r="H162" s="126">
        <v>0</v>
      </c>
      <c r="I162" s="215">
        <f t="shared" si="67"/>
        <v>0</v>
      </c>
      <c r="J162" s="313">
        <f t="shared" si="68"/>
        <v>26.03</v>
      </c>
    </row>
    <row r="163" spans="1:10">
      <c r="A163" s="27" t="str">
        <f>OBSOLETO!D355</f>
        <v>6.6.5</v>
      </c>
      <c r="B163" s="124" t="str">
        <f>OBSOLETO!E355</f>
        <v>Fôrma de Madeira - Comum</v>
      </c>
      <c r="C163" s="93">
        <f>OBSOLETO!R355</f>
        <v>0.3</v>
      </c>
      <c r="D163" s="394" t="str">
        <f>OBSOLETO!S355</f>
        <v>m²</v>
      </c>
      <c r="E163" s="125" t="s">
        <v>28</v>
      </c>
      <c r="F163" s="128">
        <v>70070126</v>
      </c>
      <c r="G163" s="388">
        <v>96.1</v>
      </c>
      <c r="H163" s="126">
        <v>0</v>
      </c>
      <c r="I163" s="215">
        <f t="shared" si="67"/>
        <v>0</v>
      </c>
      <c r="J163" s="313">
        <f t="shared" si="68"/>
        <v>28.83</v>
      </c>
    </row>
    <row r="164" spans="1:10">
      <c r="A164" s="27" t="str">
        <f>OBSOLETO!D356</f>
        <v>6.6.6</v>
      </c>
      <c r="B164" s="124" t="str">
        <f>OBSOLETO!E356</f>
        <v>Armação em Aço CA-50</v>
      </c>
      <c r="C164" s="93">
        <f>OBSOLETO!R356</f>
        <v>24</v>
      </c>
      <c r="D164" s="394" t="str">
        <f>OBSOLETO!S356</f>
        <v>kg</v>
      </c>
      <c r="E164" s="125" t="s">
        <v>28</v>
      </c>
      <c r="F164" s="128">
        <v>70070135</v>
      </c>
      <c r="G164" s="388">
        <v>19.829999999999998</v>
      </c>
      <c r="H164" s="126">
        <v>0</v>
      </c>
      <c r="I164" s="215">
        <f t="shared" si="67"/>
        <v>0</v>
      </c>
      <c r="J164" s="313">
        <f t="shared" si="68"/>
        <v>475.92</v>
      </c>
    </row>
    <row r="165" spans="1:10">
      <c r="A165" s="411" t="str">
        <f>OBSOLETO!C358</f>
        <v>6.7</v>
      </c>
      <c r="B165" s="112" t="str">
        <f>OBSOLETO!D358</f>
        <v>Ancoragem para as Peças Hidráulicas</v>
      </c>
      <c r="C165" s="113"/>
      <c r="D165" s="113"/>
      <c r="E165" s="113"/>
      <c r="F165" s="113"/>
      <c r="G165" s="113"/>
      <c r="H165" s="113"/>
      <c r="I165" s="214"/>
      <c r="J165" s="418"/>
    </row>
    <row r="166" spans="1:10">
      <c r="A166" s="27" t="s">
        <v>485</v>
      </c>
      <c r="B166" s="131" t="s">
        <v>186</v>
      </c>
      <c r="C166" s="127">
        <f>OBSOLETO!R360</f>
        <v>17</v>
      </c>
      <c r="D166" s="394" t="str">
        <f>OBSOLETO!S360</f>
        <v>Und</v>
      </c>
      <c r="E166" s="125" t="s">
        <v>28</v>
      </c>
      <c r="F166" s="128">
        <v>70070090</v>
      </c>
      <c r="G166" s="388">
        <v>66.62</v>
      </c>
      <c r="H166" s="126">
        <v>0</v>
      </c>
      <c r="I166" s="215">
        <f t="shared" ref="I166:I167" si="69">ROUND(G166*H166,2)</f>
        <v>0</v>
      </c>
      <c r="J166" s="313">
        <f t="shared" ref="J166" si="70">ROUND(IF(ISNUMBER(I166),C166*(G166+I166),C166*G166),2)</f>
        <v>1132.54</v>
      </c>
    </row>
    <row r="167" spans="1:10">
      <c r="A167" s="27" t="s">
        <v>486</v>
      </c>
      <c r="B167" s="175" t="s">
        <v>241</v>
      </c>
      <c r="C167" s="127">
        <f>OBSOLETO!R361</f>
        <v>4</v>
      </c>
      <c r="D167" s="394" t="str">
        <f>OBSOLETO!S361</f>
        <v>Und</v>
      </c>
      <c r="E167" s="125" t="s">
        <v>28</v>
      </c>
      <c r="F167" s="128">
        <v>70070115</v>
      </c>
      <c r="G167" s="388">
        <v>299.14</v>
      </c>
      <c r="H167" s="126">
        <v>0</v>
      </c>
      <c r="I167" s="215">
        <f t="shared" si="69"/>
        <v>0</v>
      </c>
      <c r="J167" s="313">
        <f>ROUND(IF(ISNUMBER(I167),C167*(G167+I167),C167*G167),2)</f>
        <v>1196.56</v>
      </c>
    </row>
    <row r="168" spans="1:10">
      <c r="A168" s="411" t="str">
        <f>OBSOLETO!C364</f>
        <v>6.8</v>
      </c>
      <c r="B168" s="112" t="str">
        <f>OBSOLETO!D364</f>
        <v>Serviços Hidráulicos para a Implantação da Rede e das Intervenções</v>
      </c>
      <c r="C168" s="113"/>
      <c r="D168" s="113"/>
      <c r="E168" s="113"/>
      <c r="F168" s="113"/>
      <c r="G168" s="113"/>
      <c r="H168" s="113"/>
      <c r="I168" s="214"/>
      <c r="J168" s="418"/>
    </row>
    <row r="169" spans="1:10">
      <c r="A169" s="90" t="str">
        <f>OBSOLETO!D379</f>
        <v>6.8.1</v>
      </c>
      <c r="B169" s="109" t="str">
        <f>OBSOLETO!E379</f>
        <v>Engenheiro Civil de obras com Encargos Complementares</v>
      </c>
      <c r="C169" s="89">
        <f>OBSOLETO!R379</f>
        <v>19</v>
      </c>
      <c r="D169" s="90" t="str">
        <f>OBSOLETO!S379</f>
        <v>H</v>
      </c>
      <c r="E169" s="90">
        <v>90778</v>
      </c>
      <c r="F169" s="91" t="s">
        <v>28</v>
      </c>
      <c r="G169" s="32">
        <f>G95</f>
        <v>127.08</v>
      </c>
      <c r="H169" s="92">
        <v>0.2639754597701145</v>
      </c>
      <c r="I169" s="213">
        <f t="shared" ref="I169:I170" si="71">ROUND(G169*H169,2)</f>
        <v>33.549999999999997</v>
      </c>
      <c r="J169" s="313">
        <f t="shared" ref="J169:J174" si="72">ROUND(IF(ISNUMBER(I169),C169*(G169+I169),C169*G169),2)</f>
        <v>3051.97</v>
      </c>
    </row>
    <row r="170" spans="1:10">
      <c r="A170" s="90" t="str">
        <f>OBSOLETO!D380</f>
        <v>6.8.2</v>
      </c>
      <c r="B170" s="109" t="str">
        <f>OBSOLETO!E380</f>
        <v>Encarregado Geral com Encargos Complementares</v>
      </c>
      <c r="C170" s="89">
        <f>OBSOLETO!R380</f>
        <v>62</v>
      </c>
      <c r="D170" s="90" t="str">
        <f>OBSOLETO!S380</f>
        <v>H</v>
      </c>
      <c r="E170" s="90">
        <v>90776</v>
      </c>
      <c r="F170" s="91" t="s">
        <v>28</v>
      </c>
      <c r="G170" s="32">
        <f t="shared" ref="G170:G172" si="73">G96</f>
        <v>38.46</v>
      </c>
      <c r="H170" s="92">
        <v>0.2639754597701145</v>
      </c>
      <c r="I170" s="213">
        <f t="shared" si="71"/>
        <v>10.15</v>
      </c>
      <c r="J170" s="313">
        <f t="shared" si="72"/>
        <v>3013.82</v>
      </c>
    </row>
    <row r="171" spans="1:10">
      <c r="A171" s="90" t="str">
        <f>OBSOLETO!D381</f>
        <v>6.8.3</v>
      </c>
      <c r="B171" s="109" t="str">
        <f>OBSOLETO!E381</f>
        <v>Encanador com Encargos Complementares</v>
      </c>
      <c r="C171" s="89">
        <f>OBSOLETO!R381</f>
        <v>152</v>
      </c>
      <c r="D171" s="90" t="str">
        <f>OBSOLETO!S381</f>
        <v>H</v>
      </c>
      <c r="E171" s="90">
        <v>88267</v>
      </c>
      <c r="F171" s="91" t="s">
        <v>28</v>
      </c>
      <c r="G171" s="32">
        <f t="shared" si="73"/>
        <v>32.049999999999997</v>
      </c>
      <c r="H171" s="92">
        <v>0.2639754597701145</v>
      </c>
      <c r="I171" s="213">
        <f>ROUND(G171*H171,2)</f>
        <v>8.4600000000000009</v>
      </c>
      <c r="J171" s="313">
        <f t="shared" si="72"/>
        <v>6157.52</v>
      </c>
    </row>
    <row r="172" spans="1:10">
      <c r="A172" s="90" t="str">
        <f>OBSOLETO!D382</f>
        <v>6.8.4</v>
      </c>
      <c r="B172" s="109" t="str">
        <f>OBSOLETO!E382</f>
        <v>Auxiliar de encanador com Encargos Complementares</v>
      </c>
      <c r="C172" s="89">
        <f>OBSOLETO!R382</f>
        <v>152</v>
      </c>
      <c r="D172" s="90" t="str">
        <f>OBSOLETO!S382</f>
        <v>H</v>
      </c>
      <c r="E172" s="90">
        <v>88248</v>
      </c>
      <c r="F172" s="91" t="s">
        <v>28</v>
      </c>
      <c r="G172" s="32">
        <f t="shared" si="73"/>
        <v>27.57</v>
      </c>
      <c r="H172" s="92">
        <v>0.2639754597701145</v>
      </c>
      <c r="I172" s="213">
        <f t="shared" ref="I172:I174" si="74">ROUND(G172*H172,2)</f>
        <v>7.28</v>
      </c>
      <c r="J172" s="313">
        <f t="shared" si="72"/>
        <v>5297.2</v>
      </c>
    </row>
    <row r="173" spans="1:10">
      <c r="A173" s="90" t="str">
        <f>OBSOLETO!D383</f>
        <v>6.8.5</v>
      </c>
      <c r="B173" s="109" t="str">
        <f>OBSOLETO!E383</f>
        <v>Pedreiro com encargos complementares</v>
      </c>
      <c r="C173" s="89">
        <f>OBSOLETO!R383</f>
        <v>56</v>
      </c>
      <c r="D173" s="90" t="str">
        <f>OBSOLETO!S383</f>
        <v>H</v>
      </c>
      <c r="E173" s="90">
        <v>88309</v>
      </c>
      <c r="F173" s="91" t="s">
        <v>28</v>
      </c>
      <c r="G173" s="32">
        <v>30.54</v>
      </c>
      <c r="H173" s="92">
        <v>0.2639754597701145</v>
      </c>
      <c r="I173" s="213">
        <f t="shared" si="74"/>
        <v>8.06</v>
      </c>
      <c r="J173" s="313">
        <f t="shared" si="72"/>
        <v>2161.6</v>
      </c>
    </row>
    <row r="174" spans="1:10">
      <c r="A174" s="90" t="str">
        <f>OBSOLETO!D384</f>
        <v>6.8.6</v>
      </c>
      <c r="B174" s="109" t="str">
        <f>OBSOLETO!E384</f>
        <v>Aj. de Pedreiro com encargos complementares</v>
      </c>
      <c r="C174" s="89">
        <f>OBSOLETO!R384</f>
        <v>56</v>
      </c>
      <c r="D174" s="90" t="str">
        <f>OBSOLETO!S384</f>
        <v>H</v>
      </c>
      <c r="E174" s="90">
        <v>88242</v>
      </c>
      <c r="F174" s="91" t="s">
        <v>28</v>
      </c>
      <c r="G174" s="32">
        <v>26.35</v>
      </c>
      <c r="H174" s="92">
        <v>0.2639754597701145</v>
      </c>
      <c r="I174" s="213">
        <f t="shared" si="74"/>
        <v>6.96</v>
      </c>
      <c r="J174" s="313">
        <f t="shared" si="72"/>
        <v>1865.36</v>
      </c>
    </row>
    <row r="175" spans="1:10">
      <c r="A175" s="411" t="str">
        <f>OBSOLETO!C387</f>
        <v>6.9</v>
      </c>
      <c r="B175" s="112" t="str">
        <f>OBSOLETO!D387</f>
        <v>Serviços Finais</v>
      </c>
      <c r="C175" s="113"/>
      <c r="D175" s="113"/>
      <c r="E175" s="113"/>
      <c r="F175" s="113"/>
      <c r="G175" s="113"/>
      <c r="H175" s="113"/>
      <c r="I175" s="214"/>
      <c r="J175" s="418"/>
    </row>
    <row r="176" spans="1:10">
      <c r="A176" s="27" t="str">
        <f>OBSOLETO!D389</f>
        <v>6.9.1</v>
      </c>
      <c r="B176" s="108" t="str">
        <f>OBSOLETO!E389</f>
        <v>Limpeza Final de Obra</v>
      </c>
      <c r="C176" s="89">
        <f>OBSOLETO!R391</f>
        <v>377.20000000000005</v>
      </c>
      <c r="D176" s="90" t="str">
        <f>OBSOLETO!S391</f>
        <v>m²</v>
      </c>
      <c r="E176" s="91" t="s">
        <v>28</v>
      </c>
      <c r="F176" s="90">
        <v>70190144</v>
      </c>
      <c r="G176" s="32">
        <v>11.52</v>
      </c>
      <c r="H176" s="92">
        <v>0</v>
      </c>
      <c r="I176" s="216">
        <f t="shared" ref="I176" si="75">ROUND(G176*H176,2)</f>
        <v>0</v>
      </c>
      <c r="J176" s="313">
        <f t="shared" ref="J176" si="76">ROUND(IF(ISNUMBER(I176),C176*(G176+I176),C176*G176),2)</f>
        <v>4345.34</v>
      </c>
    </row>
    <row r="177" spans="1:11">
      <c r="A177" s="411" t="s">
        <v>496</v>
      </c>
      <c r="B177" s="112" t="s">
        <v>1207</v>
      </c>
      <c r="C177" s="113"/>
      <c r="D177" s="113"/>
      <c r="E177" s="113"/>
      <c r="F177" s="113"/>
      <c r="G177" s="113"/>
      <c r="H177" s="113"/>
      <c r="I177" s="214"/>
      <c r="J177" s="418"/>
    </row>
    <row r="178" spans="1:11" ht="38.25">
      <c r="A178" s="27" t="s">
        <v>497</v>
      </c>
      <c r="B178" s="47" t="s">
        <v>760</v>
      </c>
      <c r="C178" s="30">
        <v>1</v>
      </c>
      <c r="D178" s="27" t="s">
        <v>245</v>
      </c>
      <c r="E178" s="927" t="s">
        <v>183</v>
      </c>
      <c r="F178" s="928"/>
      <c r="G178" s="32" t="e">
        <f>#REF!</f>
        <v>#REF!</v>
      </c>
      <c r="H178" s="126">
        <v>0</v>
      </c>
      <c r="I178" s="216" t="e">
        <f t="shared" ref="I178" si="77">ROUND(G178*H178,2)</f>
        <v>#REF!</v>
      </c>
      <c r="J178" s="421" t="e">
        <f t="shared" ref="J178" si="78">ROUND(IF(ISNUMBER(I178),C178*(G178+I178),C178*G178),2)</f>
        <v>#REF!</v>
      </c>
    </row>
    <row r="179" spans="1:11">
      <c r="A179" s="27" t="s">
        <v>498</v>
      </c>
      <c r="B179" s="124" t="s">
        <v>329</v>
      </c>
      <c r="C179" s="93">
        <v>1</v>
      </c>
      <c r="D179" s="184" t="s">
        <v>245</v>
      </c>
      <c r="E179" s="938" t="s">
        <v>1002</v>
      </c>
      <c r="F179" s="939"/>
      <c r="G179" s="255" t="e">
        <f>#REF!</f>
        <v>#REF!</v>
      </c>
      <c r="H179" s="126">
        <f>BDI!$E$35</f>
        <v>0.14012827909185233</v>
      </c>
      <c r="I179" s="222" t="e">
        <f t="shared" ref="I179" si="79">ROUND(G179*H179,2)</f>
        <v>#REF!</v>
      </c>
      <c r="J179" s="422" t="e">
        <f t="shared" ref="J179" si="80">ROUND(IF(ISNUMBER(I179),C179*(G179+I179),C179*G179),2)</f>
        <v>#REF!</v>
      </c>
      <c r="K179" s="319"/>
    </row>
    <row r="180" spans="1:11">
      <c r="A180" s="411" t="s">
        <v>499</v>
      </c>
      <c r="B180" s="112" t="s">
        <v>356</v>
      </c>
      <c r="C180" s="113"/>
      <c r="D180" s="113"/>
      <c r="E180" s="113"/>
      <c r="F180" s="113"/>
      <c r="G180" s="113"/>
      <c r="H180" s="113"/>
      <c r="I180" s="214"/>
      <c r="J180" s="418"/>
      <c r="K180" s="319"/>
    </row>
    <row r="181" spans="1:11">
      <c r="A181" s="27" t="s">
        <v>500</v>
      </c>
      <c r="B181" s="47" t="s">
        <v>754</v>
      </c>
      <c r="C181" s="30">
        <v>1</v>
      </c>
      <c r="D181" s="27" t="s">
        <v>987</v>
      </c>
      <c r="E181" s="936" t="s">
        <v>183</v>
      </c>
      <c r="F181" s="937"/>
      <c r="G181" s="255" t="e">
        <f>#REF!</f>
        <v>#REF!</v>
      </c>
      <c r="H181" s="42">
        <f>BDI!$E$35</f>
        <v>0.14012827909185233</v>
      </c>
      <c r="I181" s="217" t="e">
        <f t="shared" ref="I181:I185" si="81">ROUND(G181*H181,2)</f>
        <v>#REF!</v>
      </c>
      <c r="J181" s="313" t="e">
        <f t="shared" ref="J181:J185" si="82">ROUND(IF(ISNUMBER(I181),C181*(G181+I181),C181*G181),2)</f>
        <v>#REF!</v>
      </c>
      <c r="K181" s="319"/>
    </row>
    <row r="182" spans="1:11">
      <c r="A182" s="27" t="s">
        <v>501</v>
      </c>
      <c r="B182" s="47" t="s">
        <v>368</v>
      </c>
      <c r="C182" s="30">
        <v>2</v>
      </c>
      <c r="D182" s="27" t="s">
        <v>987</v>
      </c>
      <c r="E182" s="26" t="s">
        <v>28</v>
      </c>
      <c r="F182" s="26" t="s">
        <v>367</v>
      </c>
      <c r="G182" s="255">
        <v>329.75</v>
      </c>
      <c r="H182" s="42">
        <v>0</v>
      </c>
      <c r="I182" s="217">
        <f t="shared" si="81"/>
        <v>0</v>
      </c>
      <c r="J182" s="313">
        <f t="shared" si="82"/>
        <v>659.5</v>
      </c>
    </row>
    <row r="183" spans="1:11">
      <c r="A183" s="27" t="s">
        <v>502</v>
      </c>
      <c r="B183" s="47" t="s">
        <v>370</v>
      </c>
      <c r="C183" s="30">
        <v>2</v>
      </c>
      <c r="D183" s="27" t="s">
        <v>987</v>
      </c>
      <c r="E183" s="26" t="s">
        <v>28</v>
      </c>
      <c r="F183" s="26" t="s">
        <v>369</v>
      </c>
      <c r="G183" s="255">
        <v>573.39</v>
      </c>
      <c r="H183" s="42">
        <v>0</v>
      </c>
      <c r="I183" s="217">
        <f t="shared" si="81"/>
        <v>0</v>
      </c>
      <c r="J183" s="313">
        <f t="shared" si="82"/>
        <v>1146.78</v>
      </c>
    </row>
    <row r="184" spans="1:11">
      <c r="A184" s="27" t="s">
        <v>503</v>
      </c>
      <c r="B184" s="47" t="s">
        <v>372</v>
      </c>
      <c r="C184" s="30">
        <v>2</v>
      </c>
      <c r="D184" s="27" t="s">
        <v>987</v>
      </c>
      <c r="E184" s="26" t="s">
        <v>28</v>
      </c>
      <c r="F184" s="26" t="s">
        <v>371</v>
      </c>
      <c r="G184" s="255">
        <f>G92</f>
        <v>377.92</v>
      </c>
      <c r="H184" s="42">
        <v>0</v>
      </c>
      <c r="I184" s="217">
        <f t="shared" si="81"/>
        <v>0</v>
      </c>
      <c r="J184" s="313">
        <f t="shared" si="82"/>
        <v>755.84</v>
      </c>
    </row>
    <row r="185" spans="1:11">
      <c r="A185" s="27" t="s">
        <v>504</v>
      </c>
      <c r="B185" s="47" t="s">
        <v>373</v>
      </c>
      <c r="C185" s="30">
        <v>2</v>
      </c>
      <c r="D185" s="27" t="s">
        <v>987</v>
      </c>
      <c r="E185" s="26" t="s">
        <v>28</v>
      </c>
      <c r="F185" s="26" t="s">
        <v>374</v>
      </c>
      <c r="G185" s="255">
        <f>G93</f>
        <v>28.64</v>
      </c>
      <c r="H185" s="42">
        <v>0</v>
      </c>
      <c r="I185" s="217">
        <f t="shared" si="81"/>
        <v>0</v>
      </c>
      <c r="J185" s="313">
        <f t="shared" si="82"/>
        <v>57.28</v>
      </c>
    </row>
    <row r="186" spans="1:11">
      <c r="A186" s="411" t="str">
        <f>OBSOLETO!C394</f>
        <v>6.12</v>
      </c>
      <c r="B186" s="112" t="str">
        <f>OBSOLETO!D394</f>
        <v>Macromedidor do Poço - Instalação</v>
      </c>
      <c r="C186" s="113"/>
      <c r="D186" s="113"/>
      <c r="E186" s="113"/>
      <c r="F186" s="113"/>
      <c r="G186" s="113"/>
      <c r="H186" s="113"/>
      <c r="I186" s="214"/>
      <c r="J186" s="418"/>
    </row>
    <row r="187" spans="1:11">
      <c r="A187" s="413" t="str">
        <f>OBSOLETO!D395</f>
        <v>6.12.1</v>
      </c>
      <c r="B187" s="109" t="str">
        <f>OBSOLETO!E395</f>
        <v>Engenheiro Civil de obras com Encargos Complementares 4 h/dia x 2 dias</v>
      </c>
      <c r="C187" s="30">
        <v>8</v>
      </c>
      <c r="D187" s="27" t="str">
        <f>OBSOLETO!S395</f>
        <v>H</v>
      </c>
      <c r="E187" s="26" t="s">
        <v>1111</v>
      </c>
      <c r="F187" s="26" t="s">
        <v>28</v>
      </c>
      <c r="G187" s="255">
        <f>G95</f>
        <v>127.08</v>
      </c>
      <c r="H187" s="33">
        <f>BDI!$E$19</f>
        <v>0.24117279049169804</v>
      </c>
      <c r="I187" s="218">
        <f t="shared" ref="I187:I191" si="83">ROUND(G187*H187,2)</f>
        <v>30.65</v>
      </c>
      <c r="J187" s="313">
        <f t="shared" ref="J187:J191" si="84">ROUND(IF(ISNUMBER(I187),C187*(G187+I187),C187*G187),2)</f>
        <v>1261.8399999999999</v>
      </c>
    </row>
    <row r="188" spans="1:11">
      <c r="A188" s="413" t="str">
        <f>OBSOLETO!D396</f>
        <v>6.12.2</v>
      </c>
      <c r="B188" s="109" t="str">
        <f>OBSOLETO!E396</f>
        <v>Encarregado Geral com Encargos Complementares 8 h/dia x 2 dias</v>
      </c>
      <c r="C188" s="30">
        <v>16</v>
      </c>
      <c r="D188" s="27" t="str">
        <f>OBSOLETO!S396</f>
        <v>H</v>
      </c>
      <c r="E188" s="26" t="s">
        <v>1113</v>
      </c>
      <c r="F188" s="26" t="s">
        <v>28</v>
      </c>
      <c r="G188" s="255">
        <f t="shared" ref="G188:G191" si="85">G96</f>
        <v>38.46</v>
      </c>
      <c r="H188" s="33">
        <f>BDI!$E$19</f>
        <v>0.24117279049169804</v>
      </c>
      <c r="I188" s="218">
        <f t="shared" si="83"/>
        <v>9.2799999999999994</v>
      </c>
      <c r="J188" s="313">
        <f t="shared" si="84"/>
        <v>763.84</v>
      </c>
    </row>
    <row r="189" spans="1:11">
      <c r="A189" s="413" t="str">
        <f>OBSOLETO!D397</f>
        <v>6.12.3</v>
      </c>
      <c r="B189" s="109" t="str">
        <f>OBSOLETO!E397</f>
        <v>Encanador com Encargos Complementares 8 h/dia x 2 dias x 1 profiss.</v>
      </c>
      <c r="C189" s="30">
        <v>16</v>
      </c>
      <c r="D189" s="27" t="str">
        <f>OBSOLETO!S397</f>
        <v>H</v>
      </c>
      <c r="E189" s="26" t="s">
        <v>1115</v>
      </c>
      <c r="F189" s="26" t="s">
        <v>28</v>
      </c>
      <c r="G189" s="255">
        <f t="shared" si="85"/>
        <v>32.049999999999997</v>
      </c>
      <c r="H189" s="33">
        <f>BDI!$E$19</f>
        <v>0.24117279049169804</v>
      </c>
      <c r="I189" s="218">
        <f t="shared" si="83"/>
        <v>7.73</v>
      </c>
      <c r="J189" s="313">
        <f t="shared" si="84"/>
        <v>636.48</v>
      </c>
    </row>
    <row r="190" spans="1:11">
      <c r="A190" s="413" t="str">
        <f>OBSOLETO!D398</f>
        <v>6.12.4</v>
      </c>
      <c r="B190" s="109" t="str">
        <f>OBSOLETO!E398</f>
        <v>Auxiliar de encanador com Encargos Complementares 8 h/dia x 2 dias x 1 profiss.</v>
      </c>
      <c r="C190" s="30">
        <v>16</v>
      </c>
      <c r="D190" s="27" t="str">
        <f>OBSOLETO!S398</f>
        <v>H</v>
      </c>
      <c r="E190" s="26" t="s">
        <v>1117</v>
      </c>
      <c r="F190" s="26" t="s">
        <v>28</v>
      </c>
      <c r="G190" s="255">
        <f t="shared" si="85"/>
        <v>27.57</v>
      </c>
      <c r="H190" s="33">
        <f>BDI!$E$19</f>
        <v>0.24117279049169804</v>
      </c>
      <c r="I190" s="218">
        <f t="shared" si="83"/>
        <v>6.65</v>
      </c>
      <c r="J190" s="313">
        <f t="shared" si="84"/>
        <v>547.52</v>
      </c>
    </row>
    <row r="191" spans="1:11">
      <c r="A191" s="413" t="str">
        <f>OBSOLETO!D399</f>
        <v>6.12.5</v>
      </c>
      <c r="B191" s="109" t="str">
        <f>OBSOLETO!E399</f>
        <v>Motorista de Veículo Leve com Encargos Complementares 8 h/ dia x 2 dias x 1 profiss.</v>
      </c>
      <c r="C191" s="30">
        <v>16</v>
      </c>
      <c r="D191" s="27" t="str">
        <f>OBSOLETO!S399</f>
        <v>H</v>
      </c>
      <c r="E191" s="26" t="s">
        <v>1118</v>
      </c>
      <c r="F191" s="26" t="s">
        <v>28</v>
      </c>
      <c r="G191" s="255">
        <f t="shared" si="85"/>
        <v>26.82</v>
      </c>
      <c r="H191" s="33">
        <f>BDI!$E$19</f>
        <v>0.24117279049169804</v>
      </c>
      <c r="I191" s="218">
        <f t="shared" si="83"/>
        <v>6.47</v>
      </c>
      <c r="J191" s="313">
        <f t="shared" si="84"/>
        <v>532.64</v>
      </c>
    </row>
    <row r="192" spans="1:11">
      <c r="A192" s="411" t="str">
        <f>OBSOLETO!C401</f>
        <v>6.13</v>
      </c>
      <c r="B192" s="112" t="str">
        <f>OBSOLETO!D401</f>
        <v>Aferição e Calibração de Macromedidor com equipamento do tipo ultrassônico</v>
      </c>
      <c r="C192" s="113"/>
      <c r="D192" s="113"/>
      <c r="E192" s="113"/>
      <c r="F192" s="113"/>
      <c r="G192" s="113"/>
      <c r="H192" s="113"/>
      <c r="I192" s="214"/>
      <c r="J192" s="418"/>
    </row>
    <row r="193" spans="1:10">
      <c r="A193" s="413" t="str">
        <f>OBSOLETO!D402</f>
        <v>6.13.1</v>
      </c>
      <c r="B193" s="109" t="str">
        <f>OBSOLETO!E402</f>
        <v>Engenheiro Civil de obras com Encargos Complementares 4 h/dia x 1 dia</v>
      </c>
      <c r="C193" s="30">
        <f>OBSOLETO!R402</f>
        <v>4</v>
      </c>
      <c r="D193" s="27" t="str">
        <f>OBSOLETO!S402</f>
        <v>H</v>
      </c>
      <c r="E193" s="26" t="s">
        <v>1111</v>
      </c>
      <c r="F193" s="26" t="s">
        <v>28</v>
      </c>
      <c r="G193" s="255">
        <f>G187</f>
        <v>127.08</v>
      </c>
      <c r="H193" s="33">
        <f>BDI!$E$19</f>
        <v>0.24117279049169804</v>
      </c>
      <c r="I193" s="218">
        <f t="shared" ref="I193:I195" si="86">ROUND(G193*H193,2)</f>
        <v>30.65</v>
      </c>
      <c r="J193" s="313">
        <f t="shared" ref="J193:J195" si="87">ROUND(IF(ISNUMBER(I193),C193*(G193+I193),C193*G193),2)</f>
        <v>630.91999999999996</v>
      </c>
    </row>
    <row r="194" spans="1:10">
      <c r="A194" s="413" t="str">
        <f>OBSOLETO!D403</f>
        <v>6.13.2</v>
      </c>
      <c r="B194" s="109" t="str">
        <f>OBSOLETO!E403</f>
        <v>Encanador com Encargos Complementares 8 h/dia x 1 dias x 1 profiss.</v>
      </c>
      <c r="C194" s="30">
        <f>OBSOLETO!R403</f>
        <v>8</v>
      </c>
      <c r="D194" s="27" t="str">
        <f>OBSOLETO!S403</f>
        <v>H</v>
      </c>
      <c r="E194" s="26" t="s">
        <v>1115</v>
      </c>
      <c r="F194" s="26" t="s">
        <v>28</v>
      </c>
      <c r="G194" s="255">
        <f>G189</f>
        <v>32.049999999999997</v>
      </c>
      <c r="H194" s="33">
        <f>BDI!$E$19</f>
        <v>0.24117279049169804</v>
      </c>
      <c r="I194" s="218">
        <f t="shared" si="86"/>
        <v>7.73</v>
      </c>
      <c r="J194" s="313">
        <f t="shared" si="87"/>
        <v>318.24</v>
      </c>
    </row>
    <row r="195" spans="1:10">
      <c r="A195" s="413" t="str">
        <f>OBSOLETO!D404</f>
        <v>6.13.3</v>
      </c>
      <c r="B195" s="109" t="str">
        <f>OBSOLETO!E404</f>
        <v>Auxiliar de encanador com Encargos Complementares 8 h/dia x 1 dias x 1 profiss.</v>
      </c>
      <c r="C195" s="30">
        <f>OBSOLETO!R404</f>
        <v>8</v>
      </c>
      <c r="D195" s="27" t="str">
        <f>OBSOLETO!S404</f>
        <v>H</v>
      </c>
      <c r="E195" s="26" t="s">
        <v>1117</v>
      </c>
      <c r="F195" s="26" t="s">
        <v>28</v>
      </c>
      <c r="G195" s="255">
        <f>G190</f>
        <v>27.57</v>
      </c>
      <c r="H195" s="33">
        <f>BDI!$E$19</f>
        <v>0.24117279049169804</v>
      </c>
      <c r="I195" s="218">
        <f t="shared" si="86"/>
        <v>6.65</v>
      </c>
      <c r="J195" s="313">
        <f t="shared" si="87"/>
        <v>273.76</v>
      </c>
    </row>
    <row r="196" spans="1:10">
      <c r="A196" s="27"/>
      <c r="B196" s="2" t="s">
        <v>267</v>
      </c>
      <c r="C196" s="30"/>
      <c r="D196" s="27"/>
      <c r="E196" s="26"/>
      <c r="F196" s="26"/>
      <c r="G196" s="28"/>
      <c r="H196" s="48"/>
      <c r="I196" s="219"/>
      <c r="J196" s="414" t="e">
        <f>SUM(J108:J195)</f>
        <v>#REF!</v>
      </c>
    </row>
    <row r="197" spans="1:10">
      <c r="A197" s="423"/>
      <c r="B197" s="392"/>
      <c r="C197" s="392"/>
      <c r="D197" s="392"/>
      <c r="E197" s="392"/>
      <c r="F197" s="392"/>
      <c r="G197" s="392"/>
      <c r="H197" s="392"/>
      <c r="I197" s="220"/>
      <c r="J197" s="424"/>
    </row>
    <row r="198" spans="1:10">
      <c r="A198" s="411">
        <v>7</v>
      </c>
      <c r="B198" s="112" t="s">
        <v>1142</v>
      </c>
      <c r="C198" s="113"/>
      <c r="D198" s="113"/>
      <c r="E198" s="113"/>
      <c r="F198" s="113"/>
      <c r="G198" s="113"/>
      <c r="H198" s="113"/>
      <c r="I198" s="214"/>
      <c r="J198" s="418"/>
    </row>
    <row r="199" spans="1:10">
      <c r="A199" s="411" t="s">
        <v>289</v>
      </c>
      <c r="B199" s="112" t="s">
        <v>356</v>
      </c>
      <c r="C199" s="113"/>
      <c r="D199" s="113"/>
      <c r="E199" s="113"/>
      <c r="F199" s="113"/>
      <c r="G199" s="113"/>
      <c r="H199" s="113"/>
      <c r="I199" s="214"/>
      <c r="J199" s="418"/>
    </row>
    <row r="200" spans="1:10">
      <c r="A200" s="27" t="s">
        <v>515</v>
      </c>
      <c r="B200" s="47" t="s">
        <v>755</v>
      </c>
      <c r="C200" s="30">
        <v>1</v>
      </c>
      <c r="D200" s="27" t="s">
        <v>987</v>
      </c>
      <c r="E200" s="936" t="s">
        <v>183</v>
      </c>
      <c r="F200" s="937"/>
      <c r="G200" s="255" t="e">
        <f>#REF!</f>
        <v>#REF!</v>
      </c>
      <c r="H200" s="42">
        <f>BDI!$E$35</f>
        <v>0.14012827909185233</v>
      </c>
      <c r="I200" s="217" t="e">
        <f t="shared" ref="I200:I204" si="88">ROUND(G200*H200,2)</f>
        <v>#REF!</v>
      </c>
      <c r="J200" s="313" t="e">
        <f t="shared" ref="J200:J204" si="89">ROUND(IF(ISNUMBER(I200),C200*(G200+I200),C200*G200),2)</f>
        <v>#REF!</v>
      </c>
    </row>
    <row r="201" spans="1:10">
      <c r="A201" s="27" t="s">
        <v>516</v>
      </c>
      <c r="B201" s="47" t="s">
        <v>368</v>
      </c>
      <c r="C201" s="30">
        <v>2</v>
      </c>
      <c r="D201" s="27" t="s">
        <v>987</v>
      </c>
      <c r="E201" s="26" t="s">
        <v>28</v>
      </c>
      <c r="F201" s="26" t="s">
        <v>367</v>
      </c>
      <c r="G201" s="255">
        <f t="shared" ref="G201:G204" si="90">G182</f>
        <v>329.75</v>
      </c>
      <c r="H201" s="42">
        <v>0</v>
      </c>
      <c r="I201" s="217">
        <f t="shared" si="88"/>
        <v>0</v>
      </c>
      <c r="J201" s="313">
        <f t="shared" si="89"/>
        <v>659.5</v>
      </c>
    </row>
    <row r="202" spans="1:10">
      <c r="A202" s="27" t="s">
        <v>517</v>
      </c>
      <c r="B202" s="47" t="s">
        <v>370</v>
      </c>
      <c r="C202" s="30">
        <v>2</v>
      </c>
      <c r="D202" s="27" t="s">
        <v>987</v>
      </c>
      <c r="E202" s="26" t="s">
        <v>28</v>
      </c>
      <c r="F202" s="26" t="s">
        <v>369</v>
      </c>
      <c r="G202" s="255">
        <f t="shared" si="90"/>
        <v>573.39</v>
      </c>
      <c r="H202" s="42">
        <v>0</v>
      </c>
      <c r="I202" s="217">
        <f t="shared" si="88"/>
        <v>0</v>
      </c>
      <c r="J202" s="313">
        <f t="shared" si="89"/>
        <v>1146.78</v>
      </c>
    </row>
    <row r="203" spans="1:10">
      <c r="A203" s="27" t="s">
        <v>518</v>
      </c>
      <c r="B203" s="47" t="s">
        <v>372</v>
      </c>
      <c r="C203" s="30">
        <v>2</v>
      </c>
      <c r="D203" s="27" t="s">
        <v>987</v>
      </c>
      <c r="E203" s="26" t="s">
        <v>28</v>
      </c>
      <c r="F203" s="26" t="s">
        <v>371</v>
      </c>
      <c r="G203" s="255">
        <f t="shared" si="90"/>
        <v>377.92</v>
      </c>
      <c r="H203" s="42">
        <v>0</v>
      </c>
      <c r="I203" s="217">
        <f t="shared" si="88"/>
        <v>0</v>
      </c>
      <c r="J203" s="313">
        <f t="shared" si="89"/>
        <v>755.84</v>
      </c>
    </row>
    <row r="204" spans="1:10">
      <c r="A204" s="27" t="s">
        <v>519</v>
      </c>
      <c r="B204" s="47" t="s">
        <v>373</v>
      </c>
      <c r="C204" s="30">
        <v>2</v>
      </c>
      <c r="D204" s="27" t="s">
        <v>987</v>
      </c>
      <c r="E204" s="26" t="s">
        <v>28</v>
      </c>
      <c r="F204" s="26" t="s">
        <v>374</v>
      </c>
      <c r="G204" s="255">
        <f t="shared" si="90"/>
        <v>28.64</v>
      </c>
      <c r="H204" s="42">
        <v>0</v>
      </c>
      <c r="I204" s="217">
        <f t="shared" si="88"/>
        <v>0</v>
      </c>
      <c r="J204" s="313">
        <f t="shared" si="89"/>
        <v>57.28</v>
      </c>
    </row>
    <row r="205" spans="1:10">
      <c r="A205" s="411" t="str">
        <f>OBSOLETO!C409</f>
        <v>7.2</v>
      </c>
      <c r="B205" s="112" t="str">
        <f>OBSOLETO!D409</f>
        <v>Macromedidor do Poço - Instalação</v>
      </c>
      <c r="C205" s="113"/>
      <c r="D205" s="113"/>
      <c r="E205" s="113"/>
      <c r="F205" s="113"/>
      <c r="G205" s="113"/>
      <c r="H205" s="113"/>
      <c r="I205" s="214"/>
      <c r="J205" s="418"/>
    </row>
    <row r="206" spans="1:10">
      <c r="A206" s="413" t="str">
        <f>OBSOLETO!D410</f>
        <v>7.2.1</v>
      </c>
      <c r="B206" s="109" t="str">
        <f>OBSOLETO!E410</f>
        <v>Engenheiro Civil de obras com Encargos Complementares 4 h/dia x 2 dias</v>
      </c>
      <c r="C206" s="30">
        <v>8</v>
      </c>
      <c r="D206" s="27" t="str">
        <f>OBSOLETO!S410</f>
        <v>H</v>
      </c>
      <c r="E206" s="26" t="s">
        <v>1111</v>
      </c>
      <c r="F206" s="26" t="s">
        <v>28</v>
      </c>
      <c r="G206" s="255">
        <f>G187</f>
        <v>127.08</v>
      </c>
      <c r="H206" s="33">
        <f>BDI!$E$19</f>
        <v>0.24117279049169804</v>
      </c>
      <c r="I206" s="218">
        <f t="shared" ref="I206:I210" si="91">ROUND(G206*H206,2)</f>
        <v>30.65</v>
      </c>
      <c r="J206" s="313">
        <f t="shared" ref="J206:J210" si="92">ROUND(IF(ISNUMBER(I206),C206*(G206+I206),C206*G206),2)</f>
        <v>1261.8399999999999</v>
      </c>
    </row>
    <row r="207" spans="1:10">
      <c r="A207" s="413" t="str">
        <f>OBSOLETO!D411</f>
        <v>7.2.2</v>
      </c>
      <c r="B207" s="109" t="str">
        <f>OBSOLETO!E411</f>
        <v>Encarregado Geral com Encargos Complementares 8 h/dia x 2 dias</v>
      </c>
      <c r="C207" s="30">
        <v>16</v>
      </c>
      <c r="D207" s="27" t="str">
        <f>OBSOLETO!S411</f>
        <v>H</v>
      </c>
      <c r="E207" s="26" t="s">
        <v>1113</v>
      </c>
      <c r="F207" s="26" t="s">
        <v>28</v>
      </c>
      <c r="G207" s="255">
        <f>G188</f>
        <v>38.46</v>
      </c>
      <c r="H207" s="33">
        <f>BDI!$E$19</f>
        <v>0.24117279049169804</v>
      </c>
      <c r="I207" s="218">
        <f t="shared" si="91"/>
        <v>9.2799999999999994</v>
      </c>
      <c r="J207" s="313">
        <f t="shared" si="92"/>
        <v>763.84</v>
      </c>
    </row>
    <row r="208" spans="1:10">
      <c r="A208" s="413" t="str">
        <f>OBSOLETO!D412</f>
        <v>7.2.3</v>
      </c>
      <c r="B208" s="109" t="str">
        <f>OBSOLETO!E412</f>
        <v>Encanador com Encargos Complementares 8 h/dia x 2 dias x 1 profiss.</v>
      </c>
      <c r="C208" s="30">
        <v>16</v>
      </c>
      <c r="D208" s="27" t="str">
        <f>OBSOLETO!S412</f>
        <v>H</v>
      </c>
      <c r="E208" s="26" t="s">
        <v>1115</v>
      </c>
      <c r="F208" s="26" t="s">
        <v>28</v>
      </c>
      <c r="G208" s="255">
        <f>G189</f>
        <v>32.049999999999997</v>
      </c>
      <c r="H208" s="33">
        <f>BDI!$E$19</f>
        <v>0.24117279049169804</v>
      </c>
      <c r="I208" s="218">
        <f t="shared" si="91"/>
        <v>7.73</v>
      </c>
      <c r="J208" s="313">
        <f t="shared" si="92"/>
        <v>636.48</v>
      </c>
    </row>
    <row r="209" spans="1:10">
      <c r="A209" s="413" t="str">
        <f>OBSOLETO!D413</f>
        <v>7.2.4</v>
      </c>
      <c r="B209" s="109" t="str">
        <f>OBSOLETO!E413</f>
        <v>Auxiliar de encanador com Encargos Complementares 8 h/dia x 2 dias x 1 profiss.</v>
      </c>
      <c r="C209" s="30">
        <v>16</v>
      </c>
      <c r="D209" s="27" t="str">
        <f>OBSOLETO!S413</f>
        <v>H</v>
      </c>
      <c r="E209" s="26" t="s">
        <v>1117</v>
      </c>
      <c r="F209" s="26" t="s">
        <v>28</v>
      </c>
      <c r="G209" s="255">
        <f t="shared" ref="G209:G210" si="93">G190</f>
        <v>27.57</v>
      </c>
      <c r="H209" s="33">
        <f>BDI!$E$19</f>
        <v>0.24117279049169804</v>
      </c>
      <c r="I209" s="218">
        <f t="shared" si="91"/>
        <v>6.65</v>
      </c>
      <c r="J209" s="313">
        <f t="shared" si="92"/>
        <v>547.52</v>
      </c>
    </row>
    <row r="210" spans="1:10">
      <c r="A210" s="413" t="str">
        <f>OBSOLETO!D414</f>
        <v>7.2.5</v>
      </c>
      <c r="B210" s="109" t="str">
        <f>OBSOLETO!E414</f>
        <v>Motorista de Veículo Leve com Encargos Complementares 8 h/ dia x 2 dias x 1 profiss.</v>
      </c>
      <c r="C210" s="30">
        <v>16</v>
      </c>
      <c r="D210" s="27" t="str">
        <f>OBSOLETO!S414</f>
        <v>H</v>
      </c>
      <c r="E210" s="26" t="s">
        <v>1118</v>
      </c>
      <c r="F210" s="26" t="s">
        <v>28</v>
      </c>
      <c r="G210" s="255">
        <f t="shared" si="93"/>
        <v>26.82</v>
      </c>
      <c r="H210" s="33">
        <f>BDI!$E$19</f>
        <v>0.24117279049169804</v>
      </c>
      <c r="I210" s="218">
        <f t="shared" si="91"/>
        <v>6.47</v>
      </c>
      <c r="J210" s="313">
        <f t="shared" si="92"/>
        <v>532.64</v>
      </c>
    </row>
    <row r="211" spans="1:10">
      <c r="A211" s="411" t="s">
        <v>962</v>
      </c>
      <c r="B211" s="112" t="s">
        <v>411</v>
      </c>
      <c r="C211" s="113"/>
      <c r="D211" s="113"/>
      <c r="E211" s="113"/>
      <c r="F211" s="113"/>
      <c r="G211" s="113"/>
      <c r="H211" s="113"/>
      <c r="I211" s="214"/>
      <c r="J211" s="418"/>
    </row>
    <row r="212" spans="1:10">
      <c r="A212" s="413" t="str">
        <f>OBSOLETO!D417</f>
        <v>7.3.1</v>
      </c>
      <c r="B212" s="109" t="str">
        <f>OBSOLETO!E417</f>
        <v>Engenheiro Civil de obras com Encargos Complementares 4 h/dia x 1 dia</v>
      </c>
      <c r="C212" s="30">
        <f>OBSOLETO!R417</f>
        <v>4</v>
      </c>
      <c r="D212" s="27" t="str">
        <f>OBSOLETO!S417</f>
        <v>H</v>
      </c>
      <c r="E212" s="26" t="s">
        <v>1111</v>
      </c>
      <c r="F212" s="26" t="s">
        <v>28</v>
      </c>
      <c r="G212" s="255">
        <f>G206</f>
        <v>127.08</v>
      </c>
      <c r="H212" s="33">
        <f>BDI!$E$19</f>
        <v>0.24117279049169804</v>
      </c>
      <c r="I212" s="218">
        <f t="shared" ref="I212:I214" si="94">ROUND(G212*H212,2)</f>
        <v>30.65</v>
      </c>
      <c r="J212" s="313">
        <f t="shared" ref="J212:J214" si="95">ROUND(IF(ISNUMBER(I212),C212*(G212+I212),C212*G212),2)</f>
        <v>630.91999999999996</v>
      </c>
    </row>
    <row r="213" spans="1:10">
      <c r="A213" s="413" t="str">
        <f>OBSOLETO!D418</f>
        <v>7.3.2</v>
      </c>
      <c r="B213" s="109" t="str">
        <f>OBSOLETO!E418</f>
        <v>Encanador com Encargos Complementares 8 h/dia x 1 dias x 1 profiss.</v>
      </c>
      <c r="C213" s="30">
        <f>OBSOLETO!R418</f>
        <v>8</v>
      </c>
      <c r="D213" s="27" t="str">
        <f>OBSOLETO!S418</f>
        <v>H</v>
      </c>
      <c r="E213" s="26" t="s">
        <v>1115</v>
      </c>
      <c r="F213" s="26" t="s">
        <v>28</v>
      </c>
      <c r="G213" s="255">
        <f>G208</f>
        <v>32.049999999999997</v>
      </c>
      <c r="H213" s="33">
        <f>BDI!$E$19</f>
        <v>0.24117279049169804</v>
      </c>
      <c r="I213" s="218">
        <f t="shared" si="94"/>
        <v>7.73</v>
      </c>
      <c r="J213" s="313">
        <f t="shared" si="95"/>
        <v>318.24</v>
      </c>
    </row>
    <row r="214" spans="1:10">
      <c r="A214" s="413" t="str">
        <f>OBSOLETO!D419</f>
        <v>7.3.3</v>
      </c>
      <c r="B214" s="109" t="str">
        <f>OBSOLETO!E419</f>
        <v>Auxiliar de encanador com Encargos Complementares 8 h/dia x 1 dias x 1 profiss.</v>
      </c>
      <c r="C214" s="30">
        <f>OBSOLETO!R419</f>
        <v>8</v>
      </c>
      <c r="D214" s="27" t="str">
        <f>OBSOLETO!S419</f>
        <v>H</v>
      </c>
      <c r="E214" s="26" t="s">
        <v>1117</v>
      </c>
      <c r="F214" s="26" t="s">
        <v>28</v>
      </c>
      <c r="G214" s="255">
        <f>G209</f>
        <v>27.57</v>
      </c>
      <c r="H214" s="33">
        <f>BDI!$E$19</f>
        <v>0.24117279049169804</v>
      </c>
      <c r="I214" s="218">
        <f t="shared" si="94"/>
        <v>6.65</v>
      </c>
      <c r="J214" s="313">
        <f t="shared" si="95"/>
        <v>273.76</v>
      </c>
    </row>
    <row r="215" spans="1:10">
      <c r="A215" s="27"/>
      <c r="B215" s="2" t="s">
        <v>291</v>
      </c>
      <c r="C215" s="30"/>
      <c r="D215" s="27"/>
      <c r="E215" s="26"/>
      <c r="F215" s="26"/>
      <c r="G215" s="28"/>
      <c r="H215" s="48"/>
      <c r="I215" s="219"/>
      <c r="J215" s="414" t="e">
        <f>SUM(J200:J214)</f>
        <v>#REF!</v>
      </c>
    </row>
    <row r="216" spans="1:10">
      <c r="A216" s="423"/>
      <c r="B216" s="392"/>
      <c r="C216" s="392"/>
      <c r="D216" s="392"/>
      <c r="E216" s="392"/>
      <c r="F216" s="392"/>
      <c r="G216" s="392"/>
      <c r="H216" s="392"/>
      <c r="I216" s="220"/>
      <c r="J216" s="424"/>
    </row>
    <row r="217" spans="1:10">
      <c r="A217" s="411">
        <f>OBSOLETO!C423</f>
        <v>8</v>
      </c>
      <c r="B217" s="116" t="str">
        <f>OBSOLETO!D423</f>
        <v>Recuperação extrutural e pintura do reservatório existente, localizado no Parque dos Brilhantes, R12, rua Tereza de J. Lisboa, 71 - Setor 05</v>
      </c>
      <c r="C217" s="107"/>
      <c r="D217" s="107"/>
      <c r="E217" s="107"/>
      <c r="F217" s="107"/>
      <c r="G217" s="107"/>
      <c r="H217" s="107"/>
      <c r="I217" s="221"/>
      <c r="J217" s="425"/>
    </row>
    <row r="218" spans="1:10">
      <c r="A218" s="411" t="str">
        <f>OBSOLETO!C434</f>
        <v>8.1</v>
      </c>
      <c r="B218" s="112" t="s">
        <v>258</v>
      </c>
      <c r="C218" s="113"/>
      <c r="D218" s="113"/>
      <c r="E218" s="113"/>
      <c r="F218" s="113"/>
      <c r="G218" s="113"/>
      <c r="H218" s="113"/>
      <c r="I218" s="214"/>
      <c r="J218" s="418"/>
    </row>
    <row r="219" spans="1:10">
      <c r="A219" s="27" t="str">
        <f>OBSOLETO!D436</f>
        <v>8.1.1</v>
      </c>
      <c r="B219" s="108" t="str">
        <f>OBSOLETO!E436</f>
        <v>Sinalização de tráfego com cerquite</v>
      </c>
      <c r="C219" s="89">
        <f>OBSOLETO!R444</f>
        <v>4.666666666666667</v>
      </c>
      <c r="D219" s="90" t="str">
        <f>OBSOLETO!S444</f>
        <v>m</v>
      </c>
      <c r="E219" s="91" t="s">
        <v>28</v>
      </c>
      <c r="F219" s="114">
        <v>70020005</v>
      </c>
      <c r="G219" s="32">
        <f>G110</f>
        <v>3.46</v>
      </c>
      <c r="H219" s="92">
        <v>0</v>
      </c>
      <c r="I219" s="213">
        <f t="shared" ref="I219:I220" si="96">ROUND(G219*H219,2)</f>
        <v>0</v>
      </c>
      <c r="J219" s="421">
        <f t="shared" ref="J219:J220" si="97">ROUND(IF(ISNUMBER(I219),C219*(G219+I219),C219*G219),2)</f>
        <v>16.149999999999999</v>
      </c>
    </row>
    <row r="220" spans="1:10">
      <c r="A220" s="27" t="str">
        <f>OBSOLETO!D446</f>
        <v>8.1.2</v>
      </c>
      <c r="B220" s="115" t="str">
        <f>OBSOLETO!E446</f>
        <v>Sinalização luminosa para obras</v>
      </c>
      <c r="C220" s="89">
        <f>OBSOLETO!R454</f>
        <v>4.666666666666667</v>
      </c>
      <c r="D220" s="90" t="str">
        <f>OBSOLETO!S454</f>
        <v>m</v>
      </c>
      <c r="E220" s="91" t="s">
        <v>28</v>
      </c>
      <c r="F220" s="90">
        <v>70020001</v>
      </c>
      <c r="G220" s="32">
        <f>G111</f>
        <v>4.97</v>
      </c>
      <c r="H220" s="92">
        <v>0</v>
      </c>
      <c r="I220" s="213">
        <f t="shared" si="96"/>
        <v>0</v>
      </c>
      <c r="J220" s="421">
        <f t="shared" si="97"/>
        <v>23.19</v>
      </c>
    </row>
    <row r="221" spans="1:10">
      <c r="A221" s="411" t="s">
        <v>293</v>
      </c>
      <c r="B221" s="112" t="s">
        <v>427</v>
      </c>
      <c r="C221" s="113"/>
      <c r="D221" s="113"/>
      <c r="E221" s="113"/>
      <c r="F221" s="113"/>
      <c r="G221" s="113"/>
      <c r="H221" s="113"/>
      <c r="I221" s="214"/>
      <c r="J221" s="418"/>
    </row>
    <row r="222" spans="1:10" ht="13.5" customHeight="1">
      <c r="A222" s="90" t="str">
        <f>OBSOLETO!D459</f>
        <v>8.2.1</v>
      </c>
      <c r="B222" s="47" t="str">
        <f>OBSOLETO!E459</f>
        <v xml:space="preserve">Definição e demarcação da área de reparo com disco de corte </v>
      </c>
      <c r="C222" s="89">
        <f>OBSOLETO!R462</f>
        <v>56</v>
      </c>
      <c r="D222" s="90" t="str">
        <f>OBSOLETO!S462</f>
        <v>m</v>
      </c>
      <c r="E222" s="91" t="s">
        <v>28</v>
      </c>
      <c r="F222" s="90">
        <v>70190008</v>
      </c>
      <c r="G222" s="389">
        <f>G125</f>
        <v>7.51</v>
      </c>
      <c r="H222" s="92">
        <v>0</v>
      </c>
      <c r="I222" s="215">
        <f t="shared" ref="I222:I231" si="98">ROUND(G222*H222,2)</f>
        <v>0</v>
      </c>
      <c r="J222" s="421">
        <f t="shared" ref="J222:J231" si="99">ROUND(IF(ISNUMBER(I222),C222*(G222+I222),C222*G222),2)</f>
        <v>420.56</v>
      </c>
    </row>
    <row r="223" spans="1:10" ht="13.5" customHeight="1">
      <c r="A223" s="90" t="str">
        <f>OBSOLETO!D465</f>
        <v>8.2.2</v>
      </c>
      <c r="B223" s="47" t="str">
        <f>OBSOLETO!E465</f>
        <v>Demolição de Pavimentação Asfáltica com utilização de martelo perfurador, espessura até 15cm, exclusive carga e transporte</v>
      </c>
      <c r="C223" s="89">
        <f>OBSOLETO!R468</f>
        <v>28</v>
      </c>
      <c r="D223" s="90" t="str">
        <f>OBSOLETO!S468</f>
        <v>m²</v>
      </c>
      <c r="E223" s="91" t="s">
        <v>116</v>
      </c>
      <c r="F223" s="91" t="s">
        <v>28</v>
      </c>
      <c r="G223" s="389">
        <f t="shared" ref="G223:G231" si="100">G126</f>
        <v>19.64</v>
      </c>
      <c r="H223" s="92">
        <f>BDI!$E$19</f>
        <v>0.24117279049169804</v>
      </c>
      <c r="I223" s="213">
        <f t="shared" si="98"/>
        <v>4.74</v>
      </c>
      <c r="J223" s="421">
        <f t="shared" si="99"/>
        <v>682.64</v>
      </c>
    </row>
    <row r="224" spans="1:10" ht="13.5" customHeight="1">
      <c r="A224" s="90" t="str">
        <f>OBSOLETO!D471</f>
        <v>8.2.3</v>
      </c>
      <c r="B224" s="47" t="str">
        <f>OBSOLETO!E471</f>
        <v>Remoção de entulho inclusive a carga, transporte e descarga em bota fora a qualquer distância</v>
      </c>
      <c r="C224" s="89">
        <f>OBSOLETO!R473</f>
        <v>1.4</v>
      </c>
      <c r="D224" s="90" t="str">
        <f>OBSOLETO!S473</f>
        <v>m³</v>
      </c>
      <c r="E224" s="91" t="s">
        <v>28</v>
      </c>
      <c r="F224" s="90">
        <v>70190145</v>
      </c>
      <c r="G224" s="389">
        <f t="shared" si="100"/>
        <v>136.94999999999999</v>
      </c>
      <c r="H224" s="92">
        <v>0</v>
      </c>
      <c r="I224" s="213">
        <f t="shared" si="98"/>
        <v>0</v>
      </c>
      <c r="J224" s="421">
        <f t="shared" si="99"/>
        <v>191.73</v>
      </c>
    </row>
    <row r="225" spans="1:10" ht="25.5">
      <c r="A225" s="90" t="str">
        <f>OBSOLETO!D476</f>
        <v>8.2.4</v>
      </c>
      <c r="B225" s="47" t="str">
        <f>OBSOLETO!E476</f>
        <v>Retroescavadeira sobre rodas com carregadeira, Tração 4X4, Potência LÍQ. 88 HP, Caçamba Carreg. Cap. Mín. 1 m³, Caçamba Retro Cap. 0,26 m³, peso operacional mín. 6.674 KG, profundidade de escavação máx. 4,37 m</v>
      </c>
      <c r="C225" s="89">
        <f>OBSOLETO!R478</f>
        <v>56</v>
      </c>
      <c r="D225" s="90" t="str">
        <f>OBSOLETO!S478</f>
        <v>CHP</v>
      </c>
      <c r="E225" s="90">
        <v>5678</v>
      </c>
      <c r="F225" s="91" t="s">
        <v>28</v>
      </c>
      <c r="G225" s="389">
        <f t="shared" si="100"/>
        <v>153.33000000000001</v>
      </c>
      <c r="H225" s="92">
        <f>BDI!$E$19</f>
        <v>0.24117279049169804</v>
      </c>
      <c r="I225" s="213">
        <f t="shared" si="98"/>
        <v>36.979999999999997</v>
      </c>
      <c r="J225" s="421">
        <f t="shared" si="99"/>
        <v>10657.36</v>
      </c>
    </row>
    <row r="226" spans="1:10" ht="25.5">
      <c r="A226" s="90" t="s">
        <v>540</v>
      </c>
      <c r="B226" s="47" t="str">
        <f>OBSOLETO!E481</f>
        <v>Retroescavadeira sobre rodas com carregadeira, Tração 4X4, Potência LÍQ. 88 HP, Caçamba Carreg. Cap. Mín. 1 m³, Caçamba Retro Cap. 0,26 m³, peso operacional mín. 6.674 KG, profundidade de escavação máx. 4,37 m</v>
      </c>
      <c r="C226" s="89">
        <f>OBSOLETO!R483</f>
        <v>14</v>
      </c>
      <c r="D226" s="90" t="str">
        <f>OBSOLETO!S483</f>
        <v>CHI</v>
      </c>
      <c r="E226" s="90">
        <v>5679</v>
      </c>
      <c r="F226" s="91" t="s">
        <v>28</v>
      </c>
      <c r="G226" s="389">
        <f t="shared" si="100"/>
        <v>65.69</v>
      </c>
      <c r="H226" s="92">
        <f>BDI!$E$19</f>
        <v>0.24117279049169804</v>
      </c>
      <c r="I226" s="213">
        <f t="shared" si="98"/>
        <v>15.84</v>
      </c>
      <c r="J226" s="421">
        <f t="shared" si="99"/>
        <v>1141.42</v>
      </c>
    </row>
    <row r="227" spans="1:10">
      <c r="A227" s="90" t="str">
        <f>OBSOLETO!D486</f>
        <v>8.2.6</v>
      </c>
      <c r="B227" s="47" t="str">
        <f>OBSOLETO!E486</f>
        <v xml:space="preserve">Escoramento Contínuo </v>
      </c>
      <c r="C227" s="168">
        <f>OBSOLETO!R491</f>
        <v>84</v>
      </c>
      <c r="D227" s="169" t="str">
        <f>OBSOLETO!S491</f>
        <v>m²</v>
      </c>
      <c r="E227" s="26" t="s">
        <v>1335</v>
      </c>
      <c r="F227" s="91" t="s">
        <v>28</v>
      </c>
      <c r="G227" s="389">
        <f>G130</f>
        <v>97.45</v>
      </c>
      <c r="H227" s="92">
        <f>BDI!$E$19</f>
        <v>0.24117279049169804</v>
      </c>
      <c r="I227" s="216">
        <f t="shared" si="98"/>
        <v>23.5</v>
      </c>
      <c r="J227" s="313">
        <f t="shared" si="99"/>
        <v>10159.799999999999</v>
      </c>
    </row>
    <row r="228" spans="1:10">
      <c r="A228" s="90" t="str">
        <f>OBSOLETO!D494</f>
        <v>8.2.7</v>
      </c>
      <c r="B228" s="47" t="str">
        <f>OBSOLETO!E494</f>
        <v>Reaterro mecanizado de vala</v>
      </c>
      <c r="C228" s="89">
        <f>OBSOLETO!R496</f>
        <v>42</v>
      </c>
      <c r="D228" s="90" t="str">
        <f>OBSOLETO!S496</f>
        <v>m³</v>
      </c>
      <c r="E228" s="90">
        <v>93360</v>
      </c>
      <c r="F228" s="91" t="s">
        <v>28</v>
      </c>
      <c r="G228" s="389">
        <f t="shared" si="100"/>
        <v>24.08</v>
      </c>
      <c r="H228" s="92">
        <f>BDI!$E$19</f>
        <v>0.24117279049169804</v>
      </c>
      <c r="I228" s="213">
        <f t="shared" si="98"/>
        <v>5.81</v>
      </c>
      <c r="J228" s="421">
        <f t="shared" si="99"/>
        <v>1255.3800000000001</v>
      </c>
    </row>
    <row r="229" spans="1:10">
      <c r="A229" s="90" t="str">
        <f>OBSOLETO!D499</f>
        <v>8.2.8</v>
      </c>
      <c r="B229" s="47" t="str">
        <f>OBSOLETO!E499</f>
        <v>Sub-base em brita ou macadame hidráulico (B)</v>
      </c>
      <c r="C229" s="89">
        <f>OBSOLETO!R502</f>
        <v>4.2</v>
      </c>
      <c r="D229" s="90" t="str">
        <f>OBSOLETO!S502</f>
        <v>m³</v>
      </c>
      <c r="E229" s="91" t="s">
        <v>28</v>
      </c>
      <c r="F229" s="90">
        <v>70090091</v>
      </c>
      <c r="G229" s="389">
        <f t="shared" si="100"/>
        <v>170.15</v>
      </c>
      <c r="H229" s="92">
        <v>0</v>
      </c>
      <c r="I229" s="213">
        <f t="shared" si="98"/>
        <v>0</v>
      </c>
      <c r="J229" s="421">
        <f t="shared" si="99"/>
        <v>714.63</v>
      </c>
    </row>
    <row r="230" spans="1:10">
      <c r="A230" s="90" t="str">
        <f>OBSOLETO!D505</f>
        <v>8.2.9</v>
      </c>
      <c r="B230" s="47" t="str">
        <f>OBSOLETO!E505</f>
        <v>Pintura de ligação em emulsão RR-2C</v>
      </c>
      <c r="C230" s="89">
        <f>OBSOLETO!R507</f>
        <v>28</v>
      </c>
      <c r="D230" s="90" t="str">
        <f>OBSOLETO!S507</f>
        <v>m²</v>
      </c>
      <c r="E230" s="91" t="s">
        <v>28</v>
      </c>
      <c r="F230" s="90">
        <v>70090093</v>
      </c>
      <c r="G230" s="389">
        <f t="shared" si="100"/>
        <v>20.74</v>
      </c>
      <c r="H230" s="92">
        <v>0</v>
      </c>
      <c r="I230" s="213">
        <f t="shared" si="98"/>
        <v>0</v>
      </c>
      <c r="J230" s="421">
        <f t="shared" si="99"/>
        <v>580.72</v>
      </c>
    </row>
    <row r="231" spans="1:10">
      <c r="A231" s="90" t="str">
        <f>OBSOLETO!D510</f>
        <v>8.2.10</v>
      </c>
      <c r="B231" s="47" t="str">
        <f>OBSOLETO!E510</f>
        <v>Capa de concreto asfáltico (B) (e=5cm)</v>
      </c>
      <c r="C231" s="89">
        <f>OBSOLETO!R512</f>
        <v>1.4000000000000001</v>
      </c>
      <c r="D231" s="90" t="str">
        <f>OBSOLETO!S512</f>
        <v>m³</v>
      </c>
      <c r="E231" s="91" t="s">
        <v>28</v>
      </c>
      <c r="F231" s="90">
        <v>70090095</v>
      </c>
      <c r="G231" s="389">
        <f t="shared" si="100"/>
        <v>2117.17</v>
      </c>
      <c r="H231" s="92">
        <v>0</v>
      </c>
      <c r="I231" s="213">
        <f t="shared" si="98"/>
        <v>0</v>
      </c>
      <c r="J231" s="421">
        <f t="shared" si="99"/>
        <v>2964.04</v>
      </c>
    </row>
    <row r="232" spans="1:10">
      <c r="A232" s="411" t="s">
        <v>294</v>
      </c>
      <c r="B232" s="112" t="s">
        <v>1141</v>
      </c>
      <c r="C232" s="113"/>
      <c r="D232" s="113"/>
      <c r="E232" s="113"/>
      <c r="F232" s="113"/>
      <c r="G232" s="113"/>
      <c r="H232" s="113"/>
      <c r="I232" s="214"/>
      <c r="J232" s="418"/>
    </row>
    <row r="233" spans="1:10">
      <c r="A233" s="27" t="s">
        <v>525</v>
      </c>
      <c r="B233" s="47" t="s">
        <v>262</v>
      </c>
      <c r="C233" s="93">
        <v>2</v>
      </c>
      <c r="D233" s="27" t="s">
        <v>987</v>
      </c>
      <c r="E233" s="27">
        <v>1183</v>
      </c>
      <c r="F233" s="26" t="s">
        <v>28</v>
      </c>
      <c r="G233" s="32">
        <v>22.47</v>
      </c>
      <c r="H233" s="126">
        <f>BDI!$E$35</f>
        <v>0.14012827909185233</v>
      </c>
      <c r="I233" s="213">
        <f t="shared" ref="I233" si="101">ROUND(G233*H233,2)</f>
        <v>3.15</v>
      </c>
      <c r="J233" s="421">
        <f t="shared" ref="J233" si="102">ROUND(IF(ISNUMBER(I233),C233*(G233+I233),C233*G233),2)</f>
        <v>51.24</v>
      </c>
    </row>
    <row r="234" spans="1:10">
      <c r="A234" s="27" t="s">
        <v>526</v>
      </c>
      <c r="B234" s="47" t="s">
        <v>263</v>
      </c>
      <c r="C234" s="93">
        <v>3</v>
      </c>
      <c r="D234" s="27" t="s">
        <v>987</v>
      </c>
      <c r="E234" s="27">
        <v>1206</v>
      </c>
      <c r="F234" s="26" t="s">
        <v>28</v>
      </c>
      <c r="G234" s="32">
        <v>8.6300000000000008</v>
      </c>
      <c r="H234" s="126">
        <f>BDI!$E$35</f>
        <v>0.14012827909185233</v>
      </c>
      <c r="I234" s="213">
        <f t="shared" ref="I234:I235" si="103">ROUND(G234*H234,2)</f>
        <v>1.21</v>
      </c>
      <c r="J234" s="421">
        <f t="shared" ref="J234:J235" si="104">ROUND(IF(ISNUMBER(I234),C234*(G234+I234),C234*G234),2)</f>
        <v>29.52</v>
      </c>
    </row>
    <row r="235" spans="1:10">
      <c r="A235" s="27" t="s">
        <v>527</v>
      </c>
      <c r="B235" s="47" t="s">
        <v>1402</v>
      </c>
      <c r="C235" s="93">
        <v>1</v>
      </c>
      <c r="D235" s="27" t="s">
        <v>987</v>
      </c>
      <c r="E235" s="27">
        <v>1845</v>
      </c>
      <c r="F235" s="26" t="s">
        <v>28</v>
      </c>
      <c r="G235" s="32">
        <v>39.29</v>
      </c>
      <c r="H235" s="126">
        <f>BDI!$E$35</f>
        <v>0.14012827909185233</v>
      </c>
      <c r="I235" s="213">
        <f t="shared" si="103"/>
        <v>5.51</v>
      </c>
      <c r="J235" s="421">
        <f t="shared" si="104"/>
        <v>44.8</v>
      </c>
    </row>
    <row r="236" spans="1:10">
      <c r="A236" s="27" t="s">
        <v>545</v>
      </c>
      <c r="B236" s="47" t="s">
        <v>1403</v>
      </c>
      <c r="C236" s="93">
        <v>2</v>
      </c>
      <c r="D236" s="27" t="s">
        <v>987</v>
      </c>
      <c r="E236" s="27">
        <v>1824</v>
      </c>
      <c r="F236" s="26" t="s">
        <v>28</v>
      </c>
      <c r="G236" s="32">
        <v>92.77</v>
      </c>
      <c r="H236" s="126">
        <f>BDI!$E$35</f>
        <v>0.14012827909185233</v>
      </c>
      <c r="I236" s="215">
        <f t="shared" ref="I236:I242" si="105">ROUND(G236*H236,2)</f>
        <v>13</v>
      </c>
      <c r="J236" s="421">
        <f t="shared" ref="J236:J242" si="106">ROUND(IF(ISNUMBER(I236),C236*(G236+I236),C236*G236),2)</f>
        <v>211.54</v>
      </c>
    </row>
    <row r="237" spans="1:10">
      <c r="A237" s="27" t="s">
        <v>546</v>
      </c>
      <c r="B237" s="47" t="s">
        <v>215</v>
      </c>
      <c r="C237" s="93">
        <v>8</v>
      </c>
      <c r="D237" s="27" t="s">
        <v>987</v>
      </c>
      <c r="E237" s="128">
        <v>3825</v>
      </c>
      <c r="F237" s="125" t="s">
        <v>28</v>
      </c>
      <c r="G237" s="32">
        <v>15.85</v>
      </c>
      <c r="H237" s="126">
        <f>BDI!$E$35</f>
        <v>0.14012827909185233</v>
      </c>
      <c r="I237" s="213">
        <f t="shared" si="105"/>
        <v>2.2200000000000002</v>
      </c>
      <c r="J237" s="421">
        <f t="shared" si="106"/>
        <v>144.56</v>
      </c>
    </row>
    <row r="238" spans="1:10">
      <c r="A238" s="27" t="s">
        <v>547</v>
      </c>
      <c r="B238" s="47" t="s">
        <v>216</v>
      </c>
      <c r="C238" s="93">
        <v>2</v>
      </c>
      <c r="D238" s="27" t="s">
        <v>987</v>
      </c>
      <c r="E238" s="128">
        <v>3827</v>
      </c>
      <c r="F238" s="125" t="s">
        <v>28</v>
      </c>
      <c r="G238" s="32">
        <v>34.619999999999997</v>
      </c>
      <c r="H238" s="126">
        <f>BDI!$E$35</f>
        <v>0.14012827909185233</v>
      </c>
      <c r="I238" s="213">
        <f t="shared" si="105"/>
        <v>4.8499999999999996</v>
      </c>
      <c r="J238" s="421">
        <f t="shared" si="106"/>
        <v>78.94</v>
      </c>
    </row>
    <row r="239" spans="1:10" ht="25.5">
      <c r="A239" s="27" t="s">
        <v>548</v>
      </c>
      <c r="B239" s="25" t="s">
        <v>261</v>
      </c>
      <c r="C239" s="93">
        <v>1</v>
      </c>
      <c r="D239" s="27" t="s">
        <v>987</v>
      </c>
      <c r="E239" s="936" t="s">
        <v>183</v>
      </c>
      <c r="F239" s="937"/>
      <c r="G239" s="32" t="e">
        <f>#REF!</f>
        <v>#REF!</v>
      </c>
      <c r="H239" s="126">
        <f>BDI!$E$35</f>
        <v>0.14012827909185233</v>
      </c>
      <c r="I239" s="215" t="e">
        <f t="shared" si="105"/>
        <v>#REF!</v>
      </c>
      <c r="J239" s="421" t="e">
        <f t="shared" si="106"/>
        <v>#REF!</v>
      </c>
    </row>
    <row r="240" spans="1:10">
      <c r="A240" s="27" t="s">
        <v>549</v>
      </c>
      <c r="B240" s="47" t="s">
        <v>228</v>
      </c>
      <c r="C240" s="93">
        <v>3</v>
      </c>
      <c r="D240" s="27" t="s">
        <v>987</v>
      </c>
      <c r="E240" s="27">
        <v>7048</v>
      </c>
      <c r="F240" s="26" t="s">
        <v>28</v>
      </c>
      <c r="G240" s="32">
        <v>26.41</v>
      </c>
      <c r="H240" s="126">
        <f>BDI!$E$35</f>
        <v>0.14012827909185233</v>
      </c>
      <c r="I240" s="213">
        <f t="shared" si="105"/>
        <v>3.7</v>
      </c>
      <c r="J240" s="421">
        <f t="shared" si="106"/>
        <v>90.33</v>
      </c>
    </row>
    <row r="241" spans="1:10">
      <c r="A241" s="27" t="s">
        <v>550</v>
      </c>
      <c r="B241" s="47" t="s">
        <v>231</v>
      </c>
      <c r="C241" s="93">
        <v>18</v>
      </c>
      <c r="D241" s="27" t="s">
        <v>0</v>
      </c>
      <c r="E241" s="27">
        <v>36378</v>
      </c>
      <c r="F241" s="26" t="s">
        <v>28</v>
      </c>
      <c r="G241" s="32">
        <v>26.71</v>
      </c>
      <c r="H241" s="126">
        <f>BDI!$E$35</f>
        <v>0.14012827909185233</v>
      </c>
      <c r="I241" s="213">
        <f t="shared" si="105"/>
        <v>3.74</v>
      </c>
      <c r="J241" s="421">
        <f t="shared" si="106"/>
        <v>548.1</v>
      </c>
    </row>
    <row r="242" spans="1:10">
      <c r="A242" s="27" t="s">
        <v>551</v>
      </c>
      <c r="B242" s="47" t="s">
        <v>232</v>
      </c>
      <c r="C242" s="93">
        <v>6</v>
      </c>
      <c r="D242" s="27" t="s">
        <v>0</v>
      </c>
      <c r="E242" s="27">
        <v>36379</v>
      </c>
      <c r="F242" s="26" t="s">
        <v>28</v>
      </c>
      <c r="G242" s="32">
        <v>53.85</v>
      </c>
      <c r="H242" s="126">
        <f>BDI!$E$35</f>
        <v>0.14012827909185233</v>
      </c>
      <c r="I242" s="215">
        <f t="shared" si="105"/>
        <v>7.55</v>
      </c>
      <c r="J242" s="421">
        <f t="shared" si="106"/>
        <v>368.4</v>
      </c>
    </row>
    <row r="243" spans="1:10">
      <c r="A243" s="411" t="str">
        <f>OBSOLETO!C516</f>
        <v>8.4</v>
      </c>
      <c r="B243" s="112" t="str">
        <f>OBSOLETO!D516</f>
        <v>Construção de caixa abrigo para o Registro de Gaveta</v>
      </c>
      <c r="C243" s="113"/>
      <c r="D243" s="113"/>
      <c r="E243" s="113"/>
      <c r="F243" s="113"/>
      <c r="G243" s="113"/>
      <c r="H243" s="113"/>
      <c r="I243" s="214"/>
      <c r="J243" s="418"/>
    </row>
    <row r="244" spans="1:10">
      <c r="A244" s="27" t="str">
        <f>OBSOLETO!D518</f>
        <v>8.4.1</v>
      </c>
      <c r="B244" s="124" t="str">
        <f>OBSOLETO!E518</f>
        <v>Tubo PVC DEFOFO, JEI, 1 MPA, DN 200 mm, para rede de água (NBR 7665) (Acesso aos registros)</v>
      </c>
      <c r="C244" s="93">
        <f>OBSOLETO!R518</f>
        <v>1.5</v>
      </c>
      <c r="D244" s="394" t="str">
        <f>OBSOLETO!S518</f>
        <v>m</v>
      </c>
      <c r="E244" s="128">
        <v>9829</v>
      </c>
      <c r="F244" s="125" t="s">
        <v>28</v>
      </c>
      <c r="G244" s="255">
        <f>G159</f>
        <v>226.2</v>
      </c>
      <c r="H244" s="126">
        <v>0.16769197716658035</v>
      </c>
      <c r="I244" s="215">
        <f t="shared" ref="I244:I249" si="107">ROUND(G244*H244,2)</f>
        <v>37.93</v>
      </c>
      <c r="J244" s="422">
        <f t="shared" ref="J244:J249" si="108">ROUND(IF(ISNUMBER(I244),C244*(G244+I244),C244*G244),2)</f>
        <v>396.2</v>
      </c>
    </row>
    <row r="245" spans="1:10">
      <c r="A245" s="27" t="str">
        <f>OBSOLETO!D519</f>
        <v>8.4.2</v>
      </c>
      <c r="B245" s="124" t="str">
        <f>OBSOLETO!E519</f>
        <v>Tampão T5 FoFo DN=100mm com tampa articulada para válvula NTS 033</v>
      </c>
      <c r="C245" s="93">
        <f>OBSOLETO!R519</f>
        <v>1</v>
      </c>
      <c r="D245" s="394" t="str">
        <f>OBSOLETO!S519</f>
        <v>Und</v>
      </c>
      <c r="E245" s="125" t="s">
        <v>28</v>
      </c>
      <c r="F245" s="125" t="s">
        <v>169</v>
      </c>
      <c r="G245" s="255">
        <f t="shared" ref="G245:G249" si="109">G160</f>
        <v>97.43</v>
      </c>
      <c r="H245" s="126">
        <v>0</v>
      </c>
      <c r="I245" s="215">
        <f t="shared" si="107"/>
        <v>0</v>
      </c>
      <c r="J245" s="422">
        <f t="shared" si="108"/>
        <v>97.43</v>
      </c>
    </row>
    <row r="246" spans="1:10">
      <c r="A246" s="27" t="str">
        <f>OBSOLETO!D520</f>
        <v>8.4.3</v>
      </c>
      <c r="B246" s="124" t="str">
        <f>OBSOLETO!E520</f>
        <v>Dispositivo de proteção para registro com assentamento de tampa T-5, sem fornecimento</v>
      </c>
      <c r="C246" s="93">
        <f>OBSOLETO!R520</f>
        <v>1</v>
      </c>
      <c r="D246" s="394" t="str">
        <f>OBSOLETO!S520</f>
        <v>Und</v>
      </c>
      <c r="E246" s="125" t="s">
        <v>28</v>
      </c>
      <c r="F246" s="128">
        <v>70070342</v>
      </c>
      <c r="G246" s="255">
        <f t="shared" si="109"/>
        <v>296.7</v>
      </c>
      <c r="H246" s="126">
        <v>0</v>
      </c>
      <c r="I246" s="215">
        <f t="shared" si="107"/>
        <v>0</v>
      </c>
      <c r="J246" s="422">
        <f t="shared" si="108"/>
        <v>296.7</v>
      </c>
    </row>
    <row r="247" spans="1:10">
      <c r="A247" s="27" t="str">
        <f>OBSOLETO!D521</f>
        <v>8.4.4</v>
      </c>
      <c r="B247" s="124" t="str">
        <f>OBSOLETO!E521</f>
        <v>Concreto Estrutural, Fck=25,0MPa</v>
      </c>
      <c r="C247" s="93">
        <f>OBSOLETO!R521</f>
        <v>3.7499999999999999E-2</v>
      </c>
      <c r="D247" s="394" t="str">
        <f>OBSOLETO!S521</f>
        <v>m³</v>
      </c>
      <c r="E247" s="125" t="s">
        <v>28</v>
      </c>
      <c r="F247" s="128">
        <v>70070145</v>
      </c>
      <c r="G247" s="255">
        <f t="shared" si="109"/>
        <v>694.13</v>
      </c>
      <c r="H247" s="126">
        <v>0</v>
      </c>
      <c r="I247" s="215">
        <f t="shared" si="107"/>
        <v>0</v>
      </c>
      <c r="J247" s="422">
        <f t="shared" si="108"/>
        <v>26.03</v>
      </c>
    </row>
    <row r="248" spans="1:10">
      <c r="A248" s="27" t="str">
        <f>OBSOLETO!D522</f>
        <v>8.4.5</v>
      </c>
      <c r="B248" s="124" t="str">
        <f>OBSOLETO!E522</f>
        <v>Fôrma de Madeira - Comum</v>
      </c>
      <c r="C248" s="93">
        <f>OBSOLETO!R522</f>
        <v>0.3</v>
      </c>
      <c r="D248" s="394" t="str">
        <f>OBSOLETO!S522</f>
        <v>m²</v>
      </c>
      <c r="E248" s="125" t="s">
        <v>28</v>
      </c>
      <c r="F248" s="128">
        <v>70070126</v>
      </c>
      <c r="G248" s="255">
        <f t="shared" si="109"/>
        <v>96.1</v>
      </c>
      <c r="H248" s="126">
        <v>0</v>
      </c>
      <c r="I248" s="215">
        <f t="shared" si="107"/>
        <v>0</v>
      </c>
      <c r="J248" s="422">
        <f t="shared" si="108"/>
        <v>28.83</v>
      </c>
    </row>
    <row r="249" spans="1:10">
      <c r="A249" s="27" t="str">
        <f>OBSOLETO!D523</f>
        <v>8.4.6</v>
      </c>
      <c r="B249" s="124" t="str">
        <f>OBSOLETO!E523</f>
        <v>Armação em Aço CA-50</v>
      </c>
      <c r="C249" s="93">
        <f>OBSOLETO!R523</f>
        <v>24</v>
      </c>
      <c r="D249" s="394" t="str">
        <f>OBSOLETO!S523</f>
        <v>kg</v>
      </c>
      <c r="E249" s="125" t="s">
        <v>28</v>
      </c>
      <c r="F249" s="128">
        <v>70070135</v>
      </c>
      <c r="G249" s="255">
        <f t="shared" si="109"/>
        <v>19.829999999999998</v>
      </c>
      <c r="H249" s="126">
        <v>0</v>
      </c>
      <c r="I249" s="215">
        <f t="shared" si="107"/>
        <v>0</v>
      </c>
      <c r="J249" s="422">
        <f t="shared" si="108"/>
        <v>475.92</v>
      </c>
    </row>
    <row r="250" spans="1:10">
      <c r="A250" s="411" t="str">
        <f>OBSOLETO!C526</f>
        <v>8.5</v>
      </c>
      <c r="B250" s="112" t="str">
        <f>OBSOLETO!D526</f>
        <v>Ancoragem para as Peças Hidráulicas</v>
      </c>
      <c r="C250" s="113"/>
      <c r="D250" s="113"/>
      <c r="E250" s="113"/>
      <c r="F250" s="113"/>
      <c r="G250" s="113"/>
      <c r="H250" s="113"/>
      <c r="I250" s="214"/>
      <c r="J250" s="418"/>
    </row>
    <row r="251" spans="1:10">
      <c r="A251" s="27" t="str">
        <f>OBSOLETO!D528</f>
        <v>8.5.1</v>
      </c>
      <c r="B251" s="131" t="str">
        <f>OBSOLETO!E528</f>
        <v>Ancoragem em Pontalete de Madeira DN50, 80 e 100 mm</v>
      </c>
      <c r="C251" s="127">
        <f>OBSOLETO!R528</f>
        <v>1</v>
      </c>
      <c r="D251" s="394" t="str">
        <f>OBSOLETO!S528</f>
        <v>Und</v>
      </c>
      <c r="E251" s="125" t="s">
        <v>28</v>
      </c>
      <c r="F251" s="128">
        <v>70070090</v>
      </c>
      <c r="G251" s="388">
        <v>66.62</v>
      </c>
      <c r="H251" s="126">
        <v>0</v>
      </c>
      <c r="I251" s="215">
        <f t="shared" ref="I251" si="110">ROUND(G251*H251,2)</f>
        <v>0</v>
      </c>
      <c r="J251" s="422">
        <f t="shared" ref="J251" si="111">ROUND(IF(ISNUMBER(I251),C251*(G251+I251),C251*G251),2)</f>
        <v>66.62</v>
      </c>
    </row>
    <row r="252" spans="1:10">
      <c r="A252" s="411" t="s">
        <v>297</v>
      </c>
      <c r="B252" s="112" t="s">
        <v>19</v>
      </c>
      <c r="C252" s="113"/>
      <c r="D252" s="113"/>
      <c r="E252" s="113"/>
      <c r="F252" s="113"/>
      <c r="G252" s="113"/>
      <c r="H252" s="113"/>
      <c r="I252" s="214"/>
      <c r="J252" s="418"/>
    </row>
    <row r="253" spans="1:10">
      <c r="A253" s="90" t="str">
        <f>OBSOLETO!D544</f>
        <v>8.6.1</v>
      </c>
      <c r="B253" s="109" t="str">
        <f>OBSOLETO!E544</f>
        <v>Engenheiro Civil de obras com Encargos Complementares 1 h/intervenção x Quantidade de Intervenções</v>
      </c>
      <c r="C253" s="89">
        <f>OBSOLETO!R544</f>
        <v>7</v>
      </c>
      <c r="D253" s="90" t="str">
        <f>OBSOLETO!S544</f>
        <v>H</v>
      </c>
      <c r="E253" s="90">
        <v>90778</v>
      </c>
      <c r="F253" s="91" t="s">
        <v>28</v>
      </c>
      <c r="G253" s="32">
        <f>G169</f>
        <v>127.08</v>
      </c>
      <c r="H253" s="92">
        <v>0.2639754597701145</v>
      </c>
      <c r="I253" s="213">
        <v>33.549999999999997</v>
      </c>
      <c r="J253" s="421">
        <v>3051.97</v>
      </c>
    </row>
    <row r="254" spans="1:10">
      <c r="A254" s="90" t="str">
        <f>OBSOLETO!D545</f>
        <v>8.6.2</v>
      </c>
      <c r="B254" s="109" t="str">
        <f>OBSOLETO!E545</f>
        <v>Encarregado Geral com Encargos Complementares 2 h/intervenção x Quantidade de Intervenções</v>
      </c>
      <c r="C254" s="89">
        <f>OBSOLETO!R545</f>
        <v>14</v>
      </c>
      <c r="D254" s="90" t="str">
        <f>OBSOLETO!S545</f>
        <v>H</v>
      </c>
      <c r="E254" s="90">
        <v>90776</v>
      </c>
      <c r="F254" s="91" t="s">
        <v>28</v>
      </c>
      <c r="G254" s="32">
        <f t="shared" ref="G254:G258" si="112">G170</f>
        <v>38.46</v>
      </c>
      <c r="H254" s="92">
        <v>0.2639754597701145</v>
      </c>
      <c r="I254" s="213">
        <v>10.15</v>
      </c>
      <c r="J254" s="421">
        <v>3013.82</v>
      </c>
    </row>
    <row r="255" spans="1:10">
      <c r="A255" s="90" t="str">
        <f>OBSOLETO!D546</f>
        <v>8.6.3</v>
      </c>
      <c r="B255" s="109" t="str">
        <f>OBSOLETO!E546</f>
        <v>Encanador com Encargos Complementares 8 h/intervenção x Quantidade de Intervenções</v>
      </c>
      <c r="C255" s="89">
        <f>OBSOLETO!R546</f>
        <v>56</v>
      </c>
      <c r="D255" s="90" t="str">
        <f>OBSOLETO!S546</f>
        <v>H</v>
      </c>
      <c r="E255" s="90">
        <v>88267</v>
      </c>
      <c r="F255" s="91" t="s">
        <v>28</v>
      </c>
      <c r="G255" s="32">
        <f t="shared" si="112"/>
        <v>32.049999999999997</v>
      </c>
      <c r="H255" s="92">
        <v>0.2639754597701145</v>
      </c>
      <c r="I255" s="213">
        <v>8.4600000000000009</v>
      </c>
      <c r="J255" s="421">
        <v>6157.52</v>
      </c>
    </row>
    <row r="256" spans="1:10">
      <c r="A256" s="90" t="str">
        <f>OBSOLETO!D547</f>
        <v>8.6.4</v>
      </c>
      <c r="B256" s="109" t="str">
        <f>OBSOLETO!E547</f>
        <v>Auxiliar de encanador com Encargos Complementares 8 h/intervenção x Quantidade de Intervenções</v>
      </c>
      <c r="C256" s="89">
        <f>OBSOLETO!R547</f>
        <v>56</v>
      </c>
      <c r="D256" s="90" t="str">
        <f>OBSOLETO!S547</f>
        <v>H</v>
      </c>
      <c r="E256" s="90">
        <v>88248</v>
      </c>
      <c r="F256" s="91" t="s">
        <v>28</v>
      </c>
      <c r="G256" s="32">
        <f t="shared" si="112"/>
        <v>27.57</v>
      </c>
      <c r="H256" s="92">
        <v>0.2639754597701145</v>
      </c>
      <c r="I256" s="213">
        <v>7.28</v>
      </c>
      <c r="J256" s="421">
        <v>5297.2</v>
      </c>
    </row>
    <row r="257" spans="1:12">
      <c r="A257" s="90" t="str">
        <f>OBSOLETO!D548</f>
        <v>8.6.5</v>
      </c>
      <c r="B257" s="109" t="str">
        <f>OBSOLETO!E548</f>
        <v>Pedreiro com encargos complementares 4h/caixa abrigo x Quantidade de Caixa abrigo</v>
      </c>
      <c r="C257" s="89">
        <f>OBSOLETO!R548</f>
        <v>4</v>
      </c>
      <c r="D257" s="90" t="str">
        <f>OBSOLETO!S548</f>
        <v>H</v>
      </c>
      <c r="E257" s="90">
        <v>88309</v>
      </c>
      <c r="F257" s="91" t="s">
        <v>28</v>
      </c>
      <c r="G257" s="32">
        <f t="shared" si="112"/>
        <v>30.54</v>
      </c>
      <c r="H257" s="92">
        <v>0.2639754597701145</v>
      </c>
      <c r="I257" s="213">
        <v>8.06</v>
      </c>
      <c r="J257" s="421">
        <v>2161.6</v>
      </c>
    </row>
    <row r="258" spans="1:12">
      <c r="A258" s="90" t="str">
        <f>OBSOLETO!D549</f>
        <v>8.6.6</v>
      </c>
      <c r="B258" s="109" t="str">
        <f>OBSOLETO!E549</f>
        <v>Aj. de Pedreiro com encargos complementares 4 h/caixa abrigo x Quantidade de Caixa abrigo</v>
      </c>
      <c r="C258" s="89">
        <f>OBSOLETO!R549</f>
        <v>4</v>
      </c>
      <c r="D258" s="90" t="str">
        <f>OBSOLETO!S549</f>
        <v>H</v>
      </c>
      <c r="E258" s="90">
        <v>88242</v>
      </c>
      <c r="F258" s="91" t="s">
        <v>28</v>
      </c>
      <c r="G258" s="32">
        <f t="shared" si="112"/>
        <v>26.35</v>
      </c>
      <c r="H258" s="92">
        <v>0.2639754597701145</v>
      </c>
      <c r="I258" s="213">
        <v>6.96</v>
      </c>
      <c r="J258" s="421">
        <v>1865.36</v>
      </c>
    </row>
    <row r="259" spans="1:12">
      <c r="A259" s="411" t="str">
        <f>OBSOLETO!C552</f>
        <v>8.7</v>
      </c>
      <c r="B259" s="112" t="str">
        <f>OBSOLETO!D552</f>
        <v>Serviços Finais</v>
      </c>
      <c r="C259" s="113"/>
      <c r="D259" s="113"/>
      <c r="E259" s="113"/>
      <c r="F259" s="113"/>
      <c r="G259" s="113"/>
      <c r="H259" s="113"/>
      <c r="I259" s="214"/>
      <c r="J259" s="418"/>
    </row>
    <row r="260" spans="1:12">
      <c r="A260" s="27" t="str">
        <f>OBSOLETO!D554</f>
        <v>8.7.1</v>
      </c>
      <c r="B260" s="108" t="str">
        <f>OBSOLETO!E554</f>
        <v>Limpeza Final de Obra</v>
      </c>
      <c r="C260" s="89">
        <f>OBSOLETO!R556</f>
        <v>28</v>
      </c>
      <c r="D260" s="90" t="str">
        <f>OBSOLETO!S556</f>
        <v>m²</v>
      </c>
      <c r="E260" s="91" t="s">
        <v>28</v>
      </c>
      <c r="F260" s="90">
        <v>70190144</v>
      </c>
      <c r="G260" s="32">
        <f>G176</f>
        <v>11.52</v>
      </c>
      <c r="H260" s="92">
        <v>0</v>
      </c>
      <c r="I260" s="216">
        <f t="shared" ref="I260" si="113">ROUND(G260*H260,2)</f>
        <v>0</v>
      </c>
      <c r="J260" s="421">
        <f t="shared" ref="J260" si="114">ROUND(IF(ISNUMBER(I260),C260*(G260+I260),C260*G260),2)</f>
        <v>322.56</v>
      </c>
    </row>
    <row r="261" spans="1:12">
      <c r="A261" s="411" t="s">
        <v>299</v>
      </c>
      <c r="B261" s="112" t="s">
        <v>1033</v>
      </c>
      <c r="C261" s="113"/>
      <c r="D261" s="113"/>
      <c r="E261" s="113"/>
      <c r="F261" s="113"/>
      <c r="G261" s="113"/>
      <c r="H261" s="113"/>
      <c r="I261" s="214"/>
      <c r="J261" s="418"/>
    </row>
    <row r="262" spans="1:12" ht="38.25">
      <c r="A262" s="27" t="s">
        <v>779</v>
      </c>
      <c r="B262" s="233" t="s">
        <v>1121</v>
      </c>
      <c r="C262" s="89">
        <v>1</v>
      </c>
      <c r="D262" s="90" t="s">
        <v>245</v>
      </c>
      <c r="E262" s="929" t="s">
        <v>1032</v>
      </c>
      <c r="F262" s="930"/>
      <c r="G262" s="32" t="e">
        <f>#REF!</f>
        <v>#REF!</v>
      </c>
      <c r="H262" s="92">
        <f>BDI!$E$19</f>
        <v>0.24117279049169804</v>
      </c>
      <c r="I262" s="216" t="e">
        <f t="shared" ref="I262" si="115">ROUND(G262*H262,2)</f>
        <v>#REF!</v>
      </c>
      <c r="J262" s="421" t="e">
        <f t="shared" ref="J262" si="116">ROUND(IF(ISNUMBER(I262),C262*(G262+I262),C262*G262),2)</f>
        <v>#REF!</v>
      </c>
      <c r="L262" s="319"/>
    </row>
    <row r="263" spans="1:12">
      <c r="A263" s="411" t="s">
        <v>300</v>
      </c>
      <c r="B263" s="112" t="s">
        <v>356</v>
      </c>
      <c r="C263" s="113"/>
      <c r="D263" s="113"/>
      <c r="E263" s="113"/>
      <c r="F263" s="113"/>
      <c r="G263" s="113"/>
      <c r="H263" s="113"/>
      <c r="I263" s="214"/>
      <c r="J263" s="418"/>
    </row>
    <row r="264" spans="1:12">
      <c r="A264" s="27" t="s">
        <v>535</v>
      </c>
      <c r="B264" s="47" t="s">
        <v>754</v>
      </c>
      <c r="C264" s="30">
        <v>1</v>
      </c>
      <c r="D264" s="27" t="s">
        <v>987</v>
      </c>
      <c r="E264" s="936" t="s">
        <v>183</v>
      </c>
      <c r="F264" s="937"/>
      <c r="G264" s="255" t="e">
        <f>#REF!</f>
        <v>#REF!</v>
      </c>
      <c r="H264" s="42">
        <f>BDI!$E$35</f>
        <v>0.14012827909185233</v>
      </c>
      <c r="I264" s="217" t="e">
        <f t="shared" ref="I264:I268" si="117">ROUND(G264*H264,2)</f>
        <v>#REF!</v>
      </c>
      <c r="J264" s="313" t="e">
        <f t="shared" ref="J264:J268" si="118">ROUND(IF(ISNUMBER(I264),C264*(G264+I264),C264*G264),2)</f>
        <v>#REF!</v>
      </c>
    </row>
    <row r="265" spans="1:12">
      <c r="A265" s="27" t="s">
        <v>562</v>
      </c>
      <c r="B265" s="47" t="s">
        <v>368</v>
      </c>
      <c r="C265" s="30">
        <v>2</v>
      </c>
      <c r="D265" s="27" t="s">
        <v>987</v>
      </c>
      <c r="E265" s="26" t="s">
        <v>28</v>
      </c>
      <c r="F265" s="26" t="s">
        <v>367</v>
      </c>
      <c r="G265" s="255">
        <f>G201</f>
        <v>329.75</v>
      </c>
      <c r="H265" s="42">
        <v>0</v>
      </c>
      <c r="I265" s="217">
        <f t="shared" si="117"/>
        <v>0</v>
      </c>
      <c r="J265" s="313">
        <f t="shared" si="118"/>
        <v>659.5</v>
      </c>
    </row>
    <row r="266" spans="1:12">
      <c r="A266" s="27" t="s">
        <v>563</v>
      </c>
      <c r="B266" s="47" t="s">
        <v>370</v>
      </c>
      <c r="C266" s="30">
        <v>2</v>
      </c>
      <c r="D266" s="27" t="s">
        <v>987</v>
      </c>
      <c r="E266" s="26" t="s">
        <v>28</v>
      </c>
      <c r="F266" s="26" t="s">
        <v>369</v>
      </c>
      <c r="G266" s="255">
        <f>G202</f>
        <v>573.39</v>
      </c>
      <c r="H266" s="42">
        <v>0</v>
      </c>
      <c r="I266" s="217">
        <f t="shared" si="117"/>
        <v>0</v>
      </c>
      <c r="J266" s="313">
        <f t="shared" si="118"/>
        <v>1146.78</v>
      </c>
    </row>
    <row r="267" spans="1:12">
      <c r="A267" s="27" t="s">
        <v>564</v>
      </c>
      <c r="B267" s="47" t="s">
        <v>372</v>
      </c>
      <c r="C267" s="30">
        <v>2</v>
      </c>
      <c r="D267" s="27" t="s">
        <v>987</v>
      </c>
      <c r="E267" s="26" t="s">
        <v>28</v>
      </c>
      <c r="F267" s="26" t="s">
        <v>371</v>
      </c>
      <c r="G267" s="255">
        <f>G203</f>
        <v>377.92</v>
      </c>
      <c r="H267" s="42">
        <v>0</v>
      </c>
      <c r="I267" s="217">
        <f t="shared" si="117"/>
        <v>0</v>
      </c>
      <c r="J267" s="313">
        <f t="shared" si="118"/>
        <v>755.84</v>
      </c>
    </row>
    <row r="268" spans="1:12">
      <c r="A268" s="27" t="s">
        <v>565</v>
      </c>
      <c r="B268" s="47" t="s">
        <v>373</v>
      </c>
      <c r="C268" s="30">
        <v>2</v>
      </c>
      <c r="D268" s="27" t="s">
        <v>987</v>
      </c>
      <c r="E268" s="26" t="s">
        <v>28</v>
      </c>
      <c r="F268" s="26" t="s">
        <v>374</v>
      </c>
      <c r="G268" s="255">
        <f>G204</f>
        <v>28.64</v>
      </c>
      <c r="H268" s="42">
        <v>0</v>
      </c>
      <c r="I268" s="217">
        <f t="shared" si="117"/>
        <v>0</v>
      </c>
      <c r="J268" s="313">
        <f t="shared" si="118"/>
        <v>57.28</v>
      </c>
    </row>
    <row r="269" spans="1:12">
      <c r="A269" s="411" t="str">
        <f>OBSOLETO!C558</f>
        <v>8.10</v>
      </c>
      <c r="B269" s="112" t="str">
        <f>OBSOLETO!D558</f>
        <v>Macromedidor do Poço - Instalação</v>
      </c>
      <c r="C269" s="113"/>
      <c r="D269" s="113"/>
      <c r="E269" s="113"/>
      <c r="F269" s="113"/>
      <c r="G269" s="113"/>
      <c r="H269" s="113"/>
      <c r="I269" s="214"/>
      <c r="J269" s="418"/>
    </row>
    <row r="270" spans="1:12">
      <c r="A270" s="413" t="str">
        <f>OBSOLETO!D559</f>
        <v>8.10.1</v>
      </c>
      <c r="B270" s="109" t="str">
        <f>OBSOLETO!E559</f>
        <v>Engenheiro Civil de obras com Encargos Complementares 4 h/dia x 2 dias</v>
      </c>
      <c r="C270" s="30">
        <f>OBSOLETO!R559</f>
        <v>8</v>
      </c>
      <c r="D270" s="27" t="str">
        <f>OBSOLETO!S559</f>
        <v>H</v>
      </c>
      <c r="E270" s="26" t="s">
        <v>1111</v>
      </c>
      <c r="F270" s="26" t="s">
        <v>28</v>
      </c>
      <c r="G270" s="255">
        <f>G206</f>
        <v>127.08</v>
      </c>
      <c r="H270" s="92">
        <f>BDI!$E$19</f>
        <v>0.24117279049169804</v>
      </c>
      <c r="I270" s="218">
        <f t="shared" ref="I270:I274" si="119">ROUND(G270*H270,2)</f>
        <v>30.65</v>
      </c>
      <c r="J270" s="313">
        <f t="shared" ref="J270:J274" si="120">ROUND(IF(ISNUMBER(I270),C270*(G270+I270),C270*G270),2)</f>
        <v>1261.8399999999999</v>
      </c>
    </row>
    <row r="271" spans="1:12">
      <c r="A271" s="413" t="str">
        <f>OBSOLETO!D560</f>
        <v>8.10.2</v>
      </c>
      <c r="B271" s="109" t="str">
        <f>OBSOLETO!E560</f>
        <v>Encarregado Geral com Encargos Complementares 8 h/dia x 2 dias</v>
      </c>
      <c r="C271" s="30">
        <f>OBSOLETO!R560</f>
        <v>16</v>
      </c>
      <c r="D271" s="27" t="str">
        <f>OBSOLETO!S560</f>
        <v>H</v>
      </c>
      <c r="E271" s="26" t="s">
        <v>1113</v>
      </c>
      <c r="F271" s="26" t="s">
        <v>28</v>
      </c>
      <c r="G271" s="255">
        <f t="shared" ref="G271:G274" si="121">G207</f>
        <v>38.46</v>
      </c>
      <c r="H271" s="92">
        <f>BDI!$E$19</f>
        <v>0.24117279049169804</v>
      </c>
      <c r="I271" s="218">
        <f t="shared" si="119"/>
        <v>9.2799999999999994</v>
      </c>
      <c r="J271" s="313">
        <f t="shared" si="120"/>
        <v>763.84</v>
      </c>
    </row>
    <row r="272" spans="1:12">
      <c r="A272" s="413" t="str">
        <f>OBSOLETO!D561</f>
        <v>8.10.3</v>
      </c>
      <c r="B272" s="109" t="str">
        <f>OBSOLETO!E561</f>
        <v>Encanador com Encargos Complementares 8 h/dia x 2 dias x 1 profiss.</v>
      </c>
      <c r="C272" s="30">
        <f>OBSOLETO!R561</f>
        <v>16</v>
      </c>
      <c r="D272" s="27" t="str">
        <f>OBSOLETO!S561</f>
        <v>H</v>
      </c>
      <c r="E272" s="26" t="s">
        <v>1115</v>
      </c>
      <c r="F272" s="26" t="s">
        <v>28</v>
      </c>
      <c r="G272" s="255">
        <f t="shared" si="121"/>
        <v>32.049999999999997</v>
      </c>
      <c r="H272" s="92">
        <f>BDI!$E$19</f>
        <v>0.24117279049169804</v>
      </c>
      <c r="I272" s="218">
        <f t="shared" si="119"/>
        <v>7.73</v>
      </c>
      <c r="J272" s="313">
        <f t="shared" si="120"/>
        <v>636.48</v>
      </c>
    </row>
    <row r="273" spans="1:10">
      <c r="A273" s="413" t="str">
        <f>OBSOLETO!D562</f>
        <v>8.10.4</v>
      </c>
      <c r="B273" s="109" t="str">
        <f>OBSOLETO!E562</f>
        <v>Auxiliar de encanador com Encargos Complementares 8 h/dia x 2 dias x 1 profiss.</v>
      </c>
      <c r="C273" s="30">
        <f>OBSOLETO!R562</f>
        <v>16</v>
      </c>
      <c r="D273" s="27" t="str">
        <f>OBSOLETO!S562</f>
        <v>H</v>
      </c>
      <c r="E273" s="26" t="s">
        <v>1117</v>
      </c>
      <c r="F273" s="26" t="s">
        <v>28</v>
      </c>
      <c r="G273" s="255">
        <f t="shared" si="121"/>
        <v>27.57</v>
      </c>
      <c r="H273" s="92">
        <f>BDI!$E$19</f>
        <v>0.24117279049169804</v>
      </c>
      <c r="I273" s="218">
        <f t="shared" si="119"/>
        <v>6.65</v>
      </c>
      <c r="J273" s="313">
        <f t="shared" si="120"/>
        <v>547.52</v>
      </c>
    </row>
    <row r="274" spans="1:10">
      <c r="A274" s="413" t="str">
        <f>OBSOLETO!D563</f>
        <v>8.10.5</v>
      </c>
      <c r="B274" s="109" t="str">
        <f>OBSOLETO!E563</f>
        <v>Motorista de Veículo Leve com Encargos Complementares 8 h/ dia x 2 dias x 1 profiss.</v>
      </c>
      <c r="C274" s="30">
        <f>OBSOLETO!R563</f>
        <v>16</v>
      </c>
      <c r="D274" s="27" t="str">
        <f>OBSOLETO!S563</f>
        <v>H</v>
      </c>
      <c r="E274" s="26" t="s">
        <v>1118</v>
      </c>
      <c r="F274" s="26" t="s">
        <v>28</v>
      </c>
      <c r="G274" s="255">
        <f t="shared" si="121"/>
        <v>26.82</v>
      </c>
      <c r="H274" s="92">
        <f>BDI!$E$19</f>
        <v>0.24117279049169804</v>
      </c>
      <c r="I274" s="218">
        <f t="shared" si="119"/>
        <v>6.47</v>
      </c>
      <c r="J274" s="313">
        <f t="shared" si="120"/>
        <v>532.64</v>
      </c>
    </row>
    <row r="275" spans="1:10">
      <c r="A275" s="411" t="s">
        <v>768</v>
      </c>
      <c r="B275" s="112" t="s">
        <v>411</v>
      </c>
      <c r="C275" s="113"/>
      <c r="D275" s="113"/>
      <c r="E275" s="113"/>
      <c r="F275" s="113"/>
      <c r="G275" s="113"/>
      <c r="H275" s="113"/>
      <c r="I275" s="214"/>
      <c r="J275" s="418"/>
    </row>
    <row r="276" spans="1:10">
      <c r="A276" s="413" t="str">
        <f>OBSOLETO!D566</f>
        <v>8.11.1</v>
      </c>
      <c r="B276" s="109" t="str">
        <f>OBSOLETO!E566</f>
        <v>Engenheiro Civil de obras com Encargos Complementares 4 h/dia x 1 dia</v>
      </c>
      <c r="C276" s="30">
        <f>OBSOLETO!R566</f>
        <v>4</v>
      </c>
      <c r="D276" s="27" t="str">
        <f>OBSOLETO!S566</f>
        <v>H</v>
      </c>
      <c r="E276" s="26" t="s">
        <v>1111</v>
      </c>
      <c r="F276" s="26" t="s">
        <v>28</v>
      </c>
      <c r="G276" s="255">
        <f>G270</f>
        <v>127.08</v>
      </c>
      <c r="H276" s="92">
        <f>BDI!$E$19</f>
        <v>0.24117279049169804</v>
      </c>
      <c r="I276" s="218">
        <f t="shared" ref="I276:I278" si="122">ROUND(G276*H276,2)</f>
        <v>30.65</v>
      </c>
      <c r="J276" s="313">
        <f t="shared" ref="J276:J278" si="123">ROUND(IF(ISNUMBER(I276),C276*(G276+I276),C276*G276),2)</f>
        <v>630.91999999999996</v>
      </c>
    </row>
    <row r="277" spans="1:10">
      <c r="A277" s="413" t="str">
        <f>OBSOLETO!D567</f>
        <v>8.11.2</v>
      </c>
      <c r="B277" s="109" t="str">
        <f>OBSOLETO!E567</f>
        <v>Encanador com Encargos Complementares 8 h/dia x 1 dias x 1 profiss.</v>
      </c>
      <c r="C277" s="30">
        <f>OBSOLETO!R567</f>
        <v>8</v>
      </c>
      <c r="D277" s="27" t="str">
        <f>OBSOLETO!S567</f>
        <v>H</v>
      </c>
      <c r="E277" s="26" t="s">
        <v>1115</v>
      </c>
      <c r="F277" s="26" t="s">
        <v>28</v>
      </c>
      <c r="G277" s="255">
        <f>G272</f>
        <v>32.049999999999997</v>
      </c>
      <c r="H277" s="92">
        <f>BDI!$E$19</f>
        <v>0.24117279049169804</v>
      </c>
      <c r="I277" s="218">
        <f t="shared" si="122"/>
        <v>7.73</v>
      </c>
      <c r="J277" s="313">
        <f t="shared" si="123"/>
        <v>318.24</v>
      </c>
    </row>
    <row r="278" spans="1:10">
      <c r="A278" s="413" t="str">
        <f>OBSOLETO!D568</f>
        <v>8.11.3</v>
      </c>
      <c r="B278" s="109" t="str">
        <f>OBSOLETO!E568</f>
        <v>Auxiliar de encanador com Encargos Complementares 8 h/dia x 1 dias x 1 profiss.</v>
      </c>
      <c r="C278" s="30">
        <f>OBSOLETO!R568</f>
        <v>8</v>
      </c>
      <c r="D278" s="27" t="str">
        <f>OBSOLETO!S568</f>
        <v>H</v>
      </c>
      <c r="E278" s="26" t="s">
        <v>1117</v>
      </c>
      <c r="F278" s="26" t="s">
        <v>28</v>
      </c>
      <c r="G278" s="255">
        <f>G273</f>
        <v>27.57</v>
      </c>
      <c r="H278" s="92">
        <f>BDI!$E$19</f>
        <v>0.24117279049169804</v>
      </c>
      <c r="I278" s="218">
        <f t="shared" si="122"/>
        <v>6.65</v>
      </c>
      <c r="J278" s="313">
        <f t="shared" si="123"/>
        <v>273.76</v>
      </c>
    </row>
    <row r="279" spans="1:10">
      <c r="A279" s="27"/>
      <c r="B279" s="2" t="s">
        <v>302</v>
      </c>
      <c r="C279" s="30"/>
      <c r="D279" s="27"/>
      <c r="E279" s="26"/>
      <c r="F279" s="26"/>
      <c r="G279" s="28"/>
      <c r="H279" s="48"/>
      <c r="I279" s="219"/>
      <c r="J279" s="414" t="e">
        <f>SUM(J219:J278)</f>
        <v>#REF!</v>
      </c>
    </row>
    <row r="280" spans="1:10">
      <c r="A280" s="933"/>
      <c r="B280" s="934"/>
      <c r="C280" s="934"/>
      <c r="D280" s="934"/>
      <c r="E280" s="934"/>
      <c r="F280" s="934"/>
      <c r="G280" s="934"/>
      <c r="H280" s="934"/>
      <c r="I280" s="934"/>
      <c r="J280" s="935"/>
    </row>
    <row r="281" spans="1:10">
      <c r="A281" s="411">
        <f>OBSOLETO!C571</f>
        <v>9</v>
      </c>
      <c r="B281" s="116" t="str">
        <f>OBSOLETO!D571</f>
        <v>Implantação do Setor 06 - Estação - Intervenções e Adutora ø150mm - 1150,00 metros</v>
      </c>
      <c r="C281" s="107"/>
      <c r="D281" s="107"/>
      <c r="E281" s="107"/>
      <c r="F281" s="107"/>
      <c r="G281" s="107"/>
      <c r="H281" s="107"/>
      <c r="I281" s="107"/>
      <c r="J281" s="417"/>
    </row>
    <row r="282" spans="1:10">
      <c r="A282" s="411"/>
      <c r="B282" s="116" t="str">
        <f>OBSOLETO!D582</f>
        <v>INTERVENÇÕES</v>
      </c>
      <c r="C282" s="107"/>
      <c r="D282" s="107"/>
      <c r="E282" s="107"/>
      <c r="F282" s="107"/>
      <c r="G282" s="107"/>
      <c r="H282" s="107"/>
      <c r="I282" s="107"/>
      <c r="J282" s="417"/>
    </row>
    <row r="283" spans="1:10">
      <c r="A283" s="411" t="str">
        <f>OBSOLETO!C583</f>
        <v>9.1</v>
      </c>
      <c r="B283" s="112" t="str">
        <f>OBSOLETO!D583</f>
        <v>Sinalização de Segurança - Intervenções</v>
      </c>
      <c r="C283" s="113"/>
      <c r="D283" s="113"/>
      <c r="E283" s="113"/>
      <c r="F283" s="113"/>
      <c r="G283" s="113"/>
      <c r="H283" s="113"/>
      <c r="I283" s="113"/>
      <c r="J283" s="420"/>
    </row>
    <row r="284" spans="1:10">
      <c r="A284" s="27" t="str">
        <f>OBSOLETO!D585</f>
        <v>9.1.1</v>
      </c>
      <c r="B284" s="108" t="str">
        <f>OBSOLETO!E585</f>
        <v>Sinalização de tráfego com cerquite</v>
      </c>
      <c r="C284" s="89">
        <f>OBSOLETO!R593</f>
        <v>1.3333333333333333</v>
      </c>
      <c r="D284" s="90" t="str">
        <f>OBSOLETO!S593</f>
        <v>m</v>
      </c>
      <c r="E284" s="91" t="s">
        <v>28</v>
      </c>
      <c r="F284" s="114">
        <v>70020005</v>
      </c>
      <c r="G284" s="32">
        <f>G219</f>
        <v>3.46</v>
      </c>
      <c r="H284" s="92">
        <v>0</v>
      </c>
      <c r="I284" s="213">
        <f t="shared" ref="I284:I285" si="124">ROUND(G284*H284,2)</f>
        <v>0</v>
      </c>
      <c r="J284" s="421">
        <f t="shared" ref="J284:J285" si="125">ROUND(IF(ISNUMBER(I284),C284*(G284+I284),C284*G284),2)</f>
        <v>4.6100000000000003</v>
      </c>
    </row>
    <row r="285" spans="1:10">
      <c r="A285" s="27" t="str">
        <f>OBSOLETO!D595</f>
        <v>9.1.2</v>
      </c>
      <c r="B285" s="115" t="str">
        <f>OBSOLETO!E595</f>
        <v>Sinalização luminosa para obras</v>
      </c>
      <c r="C285" s="89">
        <f>OBSOLETO!R603</f>
        <v>1.3333333333333333</v>
      </c>
      <c r="D285" s="90" t="str">
        <f>OBSOLETO!S603</f>
        <v>m</v>
      </c>
      <c r="E285" s="91" t="s">
        <v>28</v>
      </c>
      <c r="F285" s="90">
        <v>70020001</v>
      </c>
      <c r="G285" s="32">
        <f>G220</f>
        <v>4.97</v>
      </c>
      <c r="H285" s="92">
        <v>0</v>
      </c>
      <c r="I285" s="213">
        <f t="shared" si="124"/>
        <v>0</v>
      </c>
      <c r="J285" s="421">
        <f t="shared" si="125"/>
        <v>6.63</v>
      </c>
    </row>
    <row r="286" spans="1:10">
      <c r="A286" s="411" t="str">
        <f>OBSOLETO!C606</f>
        <v>9.2</v>
      </c>
      <c r="B286" s="112" t="str">
        <f>OBSOLETO!D606</f>
        <v>Preparação do solo, abertura de valas, compactação e recomposição do pavimento</v>
      </c>
      <c r="C286" s="113"/>
      <c r="D286" s="113"/>
      <c r="E286" s="113"/>
      <c r="F286" s="113"/>
      <c r="G286" s="113"/>
      <c r="H286" s="113"/>
      <c r="I286" s="214"/>
      <c r="J286" s="418"/>
    </row>
    <row r="287" spans="1:10">
      <c r="A287" s="90" t="str">
        <f>OBSOLETO!D608</f>
        <v>9.2.1</v>
      </c>
      <c r="B287" s="47" t="str">
        <f>OBSOLETO!E608</f>
        <v xml:space="preserve">Definição e demarcação da área de reparo com disco de corte </v>
      </c>
      <c r="C287" s="89">
        <f>OBSOLETO!R611</f>
        <v>16</v>
      </c>
      <c r="D287" s="90" t="str">
        <f>OBSOLETO!S611</f>
        <v>m</v>
      </c>
      <c r="E287" s="91" t="s">
        <v>28</v>
      </c>
      <c r="F287" s="90">
        <v>70190008</v>
      </c>
      <c r="G287" s="32">
        <f>G222</f>
        <v>7.51</v>
      </c>
      <c r="H287" s="92">
        <v>0</v>
      </c>
      <c r="I287" s="215">
        <f t="shared" ref="I287:I299" si="126">ROUND(G287*H287,2)</f>
        <v>0</v>
      </c>
      <c r="J287" s="421">
        <f t="shared" ref="J287:J299" si="127">ROUND(IF(ISNUMBER(I287),C287*(G287+I287),C287*G287),2)</f>
        <v>120.16</v>
      </c>
    </row>
    <row r="288" spans="1:10" ht="18" customHeight="1">
      <c r="A288" s="90" t="str">
        <f>OBSOLETO!D614</f>
        <v>9.2.2</v>
      </c>
      <c r="B288" s="47" t="str">
        <f>OBSOLETO!E614</f>
        <v>Demolição de Pavimentação Asfáltica com utilização de martelo perfurador, espessura até 15cm, exclusive carga e transporte</v>
      </c>
      <c r="C288" s="89">
        <f>OBSOLETO!R617</f>
        <v>8</v>
      </c>
      <c r="D288" s="90" t="str">
        <f>OBSOLETO!S617</f>
        <v>m²</v>
      </c>
      <c r="E288" s="90">
        <v>97636</v>
      </c>
      <c r="F288" s="91" t="s">
        <v>28</v>
      </c>
      <c r="G288" s="32">
        <f t="shared" ref="G288:G296" si="128">G223</f>
        <v>19.64</v>
      </c>
      <c r="H288" s="92">
        <f>BDI!$E$19</f>
        <v>0.24117279049169804</v>
      </c>
      <c r="I288" s="213">
        <f t="shared" si="126"/>
        <v>4.74</v>
      </c>
      <c r="J288" s="421">
        <f t="shared" si="127"/>
        <v>195.04</v>
      </c>
    </row>
    <row r="289" spans="1:10">
      <c r="A289" s="90" t="s">
        <v>581</v>
      </c>
      <c r="B289" s="47" t="s">
        <v>23</v>
      </c>
      <c r="C289" s="89">
        <f>OBSOLETO!R622</f>
        <v>0.4</v>
      </c>
      <c r="D289" s="90" t="s">
        <v>18</v>
      </c>
      <c r="E289" s="91" t="s">
        <v>28</v>
      </c>
      <c r="F289" s="90">
        <v>70190145</v>
      </c>
      <c r="G289" s="32">
        <f t="shared" si="128"/>
        <v>136.94999999999999</v>
      </c>
      <c r="H289" s="92">
        <v>0</v>
      </c>
      <c r="I289" s="213">
        <f t="shared" si="126"/>
        <v>0</v>
      </c>
      <c r="J289" s="421">
        <f t="shared" si="127"/>
        <v>54.78</v>
      </c>
    </row>
    <row r="290" spans="1:10" ht="25.5">
      <c r="A290" s="90" t="s">
        <v>582</v>
      </c>
      <c r="B290" s="47" t="s">
        <v>178</v>
      </c>
      <c r="C290" s="89">
        <f>OBSOLETO!R627</f>
        <v>56</v>
      </c>
      <c r="D290" s="90" t="s">
        <v>179</v>
      </c>
      <c r="E290" s="90">
        <v>5678</v>
      </c>
      <c r="F290" s="91" t="s">
        <v>28</v>
      </c>
      <c r="G290" s="32">
        <f t="shared" si="128"/>
        <v>153.33000000000001</v>
      </c>
      <c r="H290" s="92">
        <f>BDI!$E$19</f>
        <v>0.24117279049169804</v>
      </c>
      <c r="I290" s="213">
        <f t="shared" si="126"/>
        <v>36.979999999999997</v>
      </c>
      <c r="J290" s="421">
        <f t="shared" si="127"/>
        <v>10657.36</v>
      </c>
    </row>
    <row r="291" spans="1:10" ht="25.5">
      <c r="A291" s="90" t="s">
        <v>583</v>
      </c>
      <c r="B291" s="47" t="s">
        <v>178</v>
      </c>
      <c r="C291" s="89">
        <f>OBSOLETO!R632</f>
        <v>14</v>
      </c>
      <c r="D291" s="90" t="s">
        <v>180</v>
      </c>
      <c r="E291" s="90">
        <v>5679</v>
      </c>
      <c r="F291" s="91" t="s">
        <v>28</v>
      </c>
      <c r="G291" s="32">
        <f t="shared" si="128"/>
        <v>65.69</v>
      </c>
      <c r="H291" s="92">
        <f>BDI!$E$19</f>
        <v>0.24117279049169804</v>
      </c>
      <c r="I291" s="213">
        <f t="shared" si="126"/>
        <v>15.84</v>
      </c>
      <c r="J291" s="421">
        <f t="shared" si="127"/>
        <v>1141.42</v>
      </c>
    </row>
    <row r="292" spans="1:10">
      <c r="A292" s="90" t="str">
        <f>OBSOLETO!D635</f>
        <v>9.2.6</v>
      </c>
      <c r="B292" s="47" t="str">
        <f>OBSOLETO!E635</f>
        <v xml:space="preserve">Escoramento Contínuo </v>
      </c>
      <c r="C292" s="89">
        <f>OBSOLETO!R640</f>
        <v>24</v>
      </c>
      <c r="D292" s="90" t="str">
        <f>OBSOLETO!S640</f>
        <v>m²</v>
      </c>
      <c r="E292" s="90">
        <v>101583</v>
      </c>
      <c r="F292" s="91" t="s">
        <v>28</v>
      </c>
      <c r="G292" s="32">
        <f>G227</f>
        <v>97.45</v>
      </c>
      <c r="H292" s="92">
        <v>0.2639754597701145</v>
      </c>
      <c r="I292" s="213">
        <f t="shared" si="126"/>
        <v>25.72</v>
      </c>
      <c r="J292" s="421">
        <f t="shared" si="127"/>
        <v>2956.08</v>
      </c>
    </row>
    <row r="293" spans="1:10">
      <c r="A293" s="90" t="str">
        <f>OBSOLETO!D643</f>
        <v>9.2.7</v>
      </c>
      <c r="B293" s="47" t="str">
        <f>OBSOLETO!E643</f>
        <v>Reaterro mecanizado de vala</v>
      </c>
      <c r="C293" s="89">
        <f>OBSOLETO!R645</f>
        <v>12</v>
      </c>
      <c r="D293" s="90" t="str">
        <f>OBSOLETO!S645</f>
        <v>m³</v>
      </c>
      <c r="E293" s="90">
        <v>93360</v>
      </c>
      <c r="F293" s="91" t="s">
        <v>28</v>
      </c>
      <c r="G293" s="32">
        <f t="shared" si="128"/>
        <v>24.08</v>
      </c>
      <c r="H293" s="92">
        <f>BDI!$E$19</f>
        <v>0.24117279049169804</v>
      </c>
      <c r="I293" s="213">
        <f t="shared" si="126"/>
        <v>5.81</v>
      </c>
      <c r="J293" s="421">
        <f t="shared" si="127"/>
        <v>358.68</v>
      </c>
    </row>
    <row r="294" spans="1:10">
      <c r="A294" s="90" t="str">
        <f>OBSOLETO!D648</f>
        <v>9.2.8</v>
      </c>
      <c r="B294" s="47" t="str">
        <f>OBSOLETO!E648</f>
        <v>Sub-base em brita ou macadame hidráulico (B)</v>
      </c>
      <c r="C294" s="89">
        <f>OBSOLETO!R651</f>
        <v>1.2</v>
      </c>
      <c r="D294" s="90" t="str">
        <f>OBSOLETO!S651</f>
        <v>m³</v>
      </c>
      <c r="E294" s="91" t="s">
        <v>28</v>
      </c>
      <c r="F294" s="90">
        <v>70090091</v>
      </c>
      <c r="G294" s="32">
        <f t="shared" si="128"/>
        <v>170.15</v>
      </c>
      <c r="H294" s="92">
        <v>0</v>
      </c>
      <c r="I294" s="213">
        <f t="shared" si="126"/>
        <v>0</v>
      </c>
      <c r="J294" s="421">
        <f t="shared" si="127"/>
        <v>204.18</v>
      </c>
    </row>
    <row r="295" spans="1:10">
      <c r="A295" s="90" t="str">
        <f>OBSOLETO!D654</f>
        <v>9.2.9</v>
      </c>
      <c r="B295" s="47" t="str">
        <f>OBSOLETO!E654</f>
        <v>Pintura de ligação em emulsão RR-2C</v>
      </c>
      <c r="C295" s="89">
        <f>OBSOLETO!R656</f>
        <v>8</v>
      </c>
      <c r="D295" s="90" t="str">
        <f>OBSOLETO!S656</f>
        <v>m²</v>
      </c>
      <c r="E295" s="91" t="s">
        <v>28</v>
      </c>
      <c r="F295" s="90">
        <v>70090093</v>
      </c>
      <c r="G295" s="32">
        <f t="shared" si="128"/>
        <v>20.74</v>
      </c>
      <c r="H295" s="92">
        <v>0</v>
      </c>
      <c r="I295" s="213">
        <f t="shared" si="126"/>
        <v>0</v>
      </c>
      <c r="J295" s="421">
        <f t="shared" si="127"/>
        <v>165.92</v>
      </c>
    </row>
    <row r="296" spans="1:10">
      <c r="A296" s="90" t="str">
        <f>OBSOLETO!D659</f>
        <v>9.2.10</v>
      </c>
      <c r="B296" s="47" t="str">
        <f>OBSOLETO!E659</f>
        <v>Capa de concreto asfáltico (B) (e=5cm)</v>
      </c>
      <c r="C296" s="89">
        <f>OBSOLETO!R661</f>
        <v>0.4</v>
      </c>
      <c r="D296" s="90" t="str">
        <f>OBSOLETO!S661</f>
        <v>m³</v>
      </c>
      <c r="E296" s="91" t="s">
        <v>28</v>
      </c>
      <c r="F296" s="90">
        <v>70090095</v>
      </c>
      <c r="G296" s="32">
        <f t="shared" si="128"/>
        <v>2117.17</v>
      </c>
      <c r="H296" s="92">
        <v>0</v>
      </c>
      <c r="I296" s="213">
        <f t="shared" si="126"/>
        <v>0</v>
      </c>
      <c r="J296" s="421">
        <f t="shared" si="127"/>
        <v>846.87</v>
      </c>
    </row>
    <row r="297" spans="1:10">
      <c r="A297" s="411" t="s">
        <v>306</v>
      </c>
      <c r="B297" s="112" t="s">
        <v>1141</v>
      </c>
      <c r="C297" s="113"/>
      <c r="D297" s="113"/>
      <c r="E297" s="113"/>
      <c r="F297" s="113"/>
      <c r="G297" s="113"/>
      <c r="H297" s="113"/>
      <c r="I297" s="214"/>
      <c r="J297" s="418"/>
    </row>
    <row r="298" spans="1:10">
      <c r="A298" s="90" t="s">
        <v>569</v>
      </c>
      <c r="B298" s="192" t="s">
        <v>266</v>
      </c>
      <c r="C298" s="89">
        <v>2</v>
      </c>
      <c r="D298" s="90" t="s">
        <v>268</v>
      </c>
      <c r="E298" s="938" t="s">
        <v>183</v>
      </c>
      <c r="F298" s="939"/>
      <c r="G298" s="32" t="e">
        <f>#REF!</f>
        <v>#REF!</v>
      </c>
      <c r="H298" s="92">
        <f>BDI!$E$35</f>
        <v>0.14012827909185233</v>
      </c>
      <c r="I298" s="213" t="e">
        <f t="shared" si="126"/>
        <v>#REF!</v>
      </c>
      <c r="J298" s="421" t="e">
        <f t="shared" si="127"/>
        <v>#REF!</v>
      </c>
    </row>
    <row r="299" spans="1:10" ht="25.5">
      <c r="A299" s="90" t="s">
        <v>588</v>
      </c>
      <c r="B299" s="182" t="s">
        <v>269</v>
      </c>
      <c r="C299" s="89">
        <v>1</v>
      </c>
      <c r="D299" s="90" t="s">
        <v>268</v>
      </c>
      <c r="E299" s="91" t="s">
        <v>28</v>
      </c>
      <c r="F299" s="91" t="s">
        <v>270</v>
      </c>
      <c r="G299" s="32">
        <v>600.09</v>
      </c>
      <c r="H299" s="92">
        <v>0</v>
      </c>
      <c r="I299" s="213">
        <f t="shared" si="126"/>
        <v>0</v>
      </c>
      <c r="J299" s="421">
        <f t="shared" si="127"/>
        <v>600.09</v>
      </c>
    </row>
    <row r="300" spans="1:10">
      <c r="A300" s="411" t="str">
        <f>OBSOLETO!C664</f>
        <v>9.4</v>
      </c>
      <c r="B300" s="112" t="str">
        <f>OBSOLETO!D664</f>
        <v>Construção de caixa abrigo para o Registro de Gaveta</v>
      </c>
      <c r="C300" s="113"/>
      <c r="D300" s="113"/>
      <c r="E300" s="113"/>
      <c r="F300" s="113"/>
      <c r="G300" s="113"/>
      <c r="H300" s="113"/>
      <c r="I300" s="214"/>
      <c r="J300" s="418"/>
    </row>
    <row r="301" spans="1:10">
      <c r="A301" s="27" t="str">
        <f>OBSOLETO!D666</f>
        <v>9.4.1</v>
      </c>
      <c r="B301" s="124" t="str">
        <f>OBSOLETO!E666</f>
        <v>Tubo PVC DEFOFO, JEI, 1 MPA, DN 200 mm, para rede de água (NBR 7665) (Acesso aos registros)</v>
      </c>
      <c r="C301" s="93">
        <f>OBSOLETO!R666</f>
        <v>1.5</v>
      </c>
      <c r="D301" s="394" t="str">
        <f>OBSOLETO!S666</f>
        <v>m</v>
      </c>
      <c r="E301" s="128">
        <v>9829</v>
      </c>
      <c r="F301" s="125" t="s">
        <v>28</v>
      </c>
      <c r="G301" s="255">
        <f>G244</f>
        <v>226.2</v>
      </c>
      <c r="H301" s="126">
        <v>0.16769197716658035</v>
      </c>
      <c r="I301" s="215">
        <f t="shared" ref="I301:I306" si="129">ROUND(G301*H301,2)</f>
        <v>37.93</v>
      </c>
      <c r="J301" s="422">
        <f t="shared" ref="J301:J306" si="130">ROUND(IF(ISNUMBER(I301),C301*(G301+I301),C301*G301),2)</f>
        <v>396.2</v>
      </c>
    </row>
    <row r="302" spans="1:10">
      <c r="A302" s="27" t="str">
        <f>OBSOLETO!D667</f>
        <v>9.4.2</v>
      </c>
      <c r="B302" s="124" t="str">
        <f>OBSOLETO!E667</f>
        <v>Tampão T5 FoFo DN=100mm com tampa articulada para válvula NTS 033</v>
      </c>
      <c r="C302" s="93">
        <f>OBSOLETO!R667</f>
        <v>1</v>
      </c>
      <c r="D302" s="394" t="str">
        <f>OBSOLETO!S667</f>
        <v>Und</v>
      </c>
      <c r="E302" s="125" t="s">
        <v>28</v>
      </c>
      <c r="F302" s="125" t="s">
        <v>169</v>
      </c>
      <c r="G302" s="255">
        <f t="shared" ref="G302:G306" si="131">G245</f>
        <v>97.43</v>
      </c>
      <c r="H302" s="126">
        <v>0</v>
      </c>
      <c r="I302" s="215">
        <f t="shared" si="129"/>
        <v>0</v>
      </c>
      <c r="J302" s="422">
        <f t="shared" si="130"/>
        <v>97.43</v>
      </c>
    </row>
    <row r="303" spans="1:10">
      <c r="A303" s="27" t="str">
        <f>OBSOLETO!D668</f>
        <v>9.4.3</v>
      </c>
      <c r="B303" s="124" t="str">
        <f>OBSOLETO!E668</f>
        <v>Dispositivo de proteção para registro com assentamento de tampa T-5, sem fornecimento</v>
      </c>
      <c r="C303" s="93">
        <f>OBSOLETO!R668</f>
        <v>1</v>
      </c>
      <c r="D303" s="394" t="str">
        <f>OBSOLETO!S668</f>
        <v>Und</v>
      </c>
      <c r="E303" s="125" t="s">
        <v>28</v>
      </c>
      <c r="F303" s="128">
        <v>70070342</v>
      </c>
      <c r="G303" s="255">
        <f t="shared" si="131"/>
        <v>296.7</v>
      </c>
      <c r="H303" s="126">
        <v>0</v>
      </c>
      <c r="I303" s="215">
        <f t="shared" si="129"/>
        <v>0</v>
      </c>
      <c r="J303" s="422">
        <f t="shared" si="130"/>
        <v>296.7</v>
      </c>
    </row>
    <row r="304" spans="1:10">
      <c r="A304" s="27" t="str">
        <f>OBSOLETO!D669</f>
        <v>9.4.4</v>
      </c>
      <c r="B304" s="124" t="str">
        <f>OBSOLETO!E669</f>
        <v>Concreto Estrutural, Fck=25,0MPa</v>
      </c>
      <c r="C304" s="93">
        <f>OBSOLETO!R669</f>
        <v>3.7499999999999999E-2</v>
      </c>
      <c r="D304" s="394" t="str">
        <f>OBSOLETO!S669</f>
        <v>m³</v>
      </c>
      <c r="E304" s="125" t="s">
        <v>28</v>
      </c>
      <c r="F304" s="128">
        <v>70070145</v>
      </c>
      <c r="G304" s="255">
        <f t="shared" si="131"/>
        <v>694.13</v>
      </c>
      <c r="H304" s="126">
        <v>0</v>
      </c>
      <c r="I304" s="215">
        <f t="shared" si="129"/>
        <v>0</v>
      </c>
      <c r="J304" s="422">
        <f t="shared" si="130"/>
        <v>26.03</v>
      </c>
    </row>
    <row r="305" spans="1:12">
      <c r="A305" s="27" t="str">
        <f>OBSOLETO!D670</f>
        <v>9.4.5</v>
      </c>
      <c r="B305" s="124" t="str">
        <f>OBSOLETO!E670</f>
        <v>Fôrma de Madeira - Comum</v>
      </c>
      <c r="C305" s="93">
        <f>OBSOLETO!R670</f>
        <v>0.3</v>
      </c>
      <c r="D305" s="394" t="str">
        <f>OBSOLETO!S670</f>
        <v>m²</v>
      </c>
      <c r="E305" s="125" t="s">
        <v>28</v>
      </c>
      <c r="F305" s="128">
        <v>70070126</v>
      </c>
      <c r="G305" s="255">
        <f t="shared" si="131"/>
        <v>96.1</v>
      </c>
      <c r="H305" s="126">
        <v>0</v>
      </c>
      <c r="I305" s="215">
        <f t="shared" si="129"/>
        <v>0</v>
      </c>
      <c r="J305" s="422">
        <f t="shared" si="130"/>
        <v>28.83</v>
      </c>
    </row>
    <row r="306" spans="1:12">
      <c r="A306" s="27" t="str">
        <f>OBSOLETO!D671</f>
        <v>9.4.6</v>
      </c>
      <c r="B306" s="124" t="str">
        <f>OBSOLETO!E671</f>
        <v>Armação em Aço CA-50</v>
      </c>
      <c r="C306" s="93">
        <f>OBSOLETO!R671</f>
        <v>24</v>
      </c>
      <c r="D306" s="394" t="str">
        <f>OBSOLETO!S671</f>
        <v>kg</v>
      </c>
      <c r="E306" s="125" t="s">
        <v>28</v>
      </c>
      <c r="F306" s="128">
        <v>70070135</v>
      </c>
      <c r="G306" s="255">
        <f t="shared" si="131"/>
        <v>19.829999999999998</v>
      </c>
      <c r="H306" s="126">
        <v>0</v>
      </c>
      <c r="I306" s="215">
        <f t="shared" si="129"/>
        <v>0</v>
      </c>
      <c r="J306" s="422">
        <f t="shared" si="130"/>
        <v>475.92</v>
      </c>
    </row>
    <row r="307" spans="1:12">
      <c r="A307" s="411" t="str">
        <f>OBSOLETO!C674</f>
        <v>9.5</v>
      </c>
      <c r="B307" s="112" t="str">
        <f>OBSOLETO!D674</f>
        <v>Ancoragem para as Peças Hidráulicas</v>
      </c>
      <c r="C307" s="113"/>
      <c r="D307" s="113"/>
      <c r="E307" s="113"/>
      <c r="F307" s="113"/>
      <c r="G307" s="113"/>
      <c r="H307" s="113"/>
      <c r="I307" s="214"/>
      <c r="J307" s="418"/>
    </row>
    <row r="308" spans="1:12">
      <c r="A308" s="27" t="s">
        <v>571</v>
      </c>
      <c r="B308" s="131" t="s">
        <v>186</v>
      </c>
      <c r="C308" s="127">
        <f>OBSOLETO!R676</f>
        <v>1</v>
      </c>
      <c r="D308" s="394" t="str">
        <f>OBSOLETO!S676</f>
        <v>Und</v>
      </c>
      <c r="E308" s="125" t="s">
        <v>28</v>
      </c>
      <c r="F308" s="128">
        <v>70070090</v>
      </c>
      <c r="G308" s="388">
        <v>66.62</v>
      </c>
      <c r="H308" s="126">
        <v>0</v>
      </c>
      <c r="I308" s="215">
        <f t="shared" ref="I308" si="132">ROUND(G308*H308,2)</f>
        <v>0</v>
      </c>
      <c r="J308" s="422">
        <f t="shared" ref="J308" si="133">ROUND(IF(ISNUMBER(I308),C308*(G308+I308),C308*G308),2)</f>
        <v>66.62</v>
      </c>
    </row>
    <row r="309" spans="1:12">
      <c r="A309" s="411" t="str">
        <f>OBSOLETO!C679</f>
        <v>9.6</v>
      </c>
      <c r="B309" s="112" t="str">
        <f>OBSOLETO!D679</f>
        <v>Serviços Hidráulicos</v>
      </c>
      <c r="C309" s="113"/>
      <c r="D309" s="113"/>
      <c r="E309" s="113"/>
      <c r="F309" s="113"/>
      <c r="G309" s="113"/>
      <c r="H309" s="113"/>
      <c r="I309" s="214"/>
      <c r="J309" s="418"/>
      <c r="L309" s="545"/>
    </row>
    <row r="310" spans="1:12">
      <c r="A310" s="90" t="str">
        <f>OBSOLETO!D693</f>
        <v>9.6.1</v>
      </c>
      <c r="B310" s="109" t="str">
        <f>OBSOLETO!E693</f>
        <v>Engenheiro Civil de obras com Encargos Complementares 1 h/intervenção x Quantidade de Intervenções</v>
      </c>
      <c r="C310" s="89">
        <f>OBSOLETO!R693</f>
        <v>2</v>
      </c>
      <c r="D310" s="90" t="str">
        <f>OBSOLETO!S693</f>
        <v>H</v>
      </c>
      <c r="E310" s="90">
        <v>90778</v>
      </c>
      <c r="F310" s="91" t="s">
        <v>28</v>
      </c>
      <c r="G310" s="32">
        <f>G169</f>
        <v>127.08</v>
      </c>
      <c r="H310" s="92">
        <v>0.2639754597701145</v>
      </c>
      <c r="I310" s="213">
        <f t="shared" ref="I310:I311" si="134">ROUND(G310*H310,2)</f>
        <v>33.549999999999997</v>
      </c>
      <c r="J310" s="313">
        <f t="shared" ref="J310:J315" si="135">ROUND(IF(ISNUMBER(I310),C310*(G310+I310),C310*G310),2)</f>
        <v>321.26</v>
      </c>
      <c r="L310" s="545"/>
    </row>
    <row r="311" spans="1:12">
      <c r="A311" s="90" t="str">
        <f>OBSOLETO!D694</f>
        <v>9.6.2</v>
      </c>
      <c r="B311" s="109" t="str">
        <f>OBSOLETO!E694</f>
        <v>Encarregado Geral com Encargos Complementares 2 h/intervenção x Quantidade de Intervenções</v>
      </c>
      <c r="C311" s="89">
        <f>OBSOLETO!R694</f>
        <v>4</v>
      </c>
      <c r="D311" s="90" t="str">
        <f>OBSOLETO!S694</f>
        <v>H</v>
      </c>
      <c r="E311" s="90">
        <v>90776</v>
      </c>
      <c r="F311" s="91" t="s">
        <v>28</v>
      </c>
      <c r="G311" s="32">
        <f t="shared" ref="G311:G315" si="136">G170</f>
        <v>38.46</v>
      </c>
      <c r="H311" s="92">
        <v>0.2639754597701145</v>
      </c>
      <c r="I311" s="213">
        <f t="shared" si="134"/>
        <v>10.15</v>
      </c>
      <c r="J311" s="313">
        <f t="shared" si="135"/>
        <v>194.44</v>
      </c>
      <c r="L311" s="545"/>
    </row>
    <row r="312" spans="1:12">
      <c r="A312" s="90" t="str">
        <f>OBSOLETO!D695</f>
        <v>9.6.3</v>
      </c>
      <c r="B312" s="109" t="str">
        <f>OBSOLETO!E695</f>
        <v>Encanador com Encargos Complementares 8 h/intervenção x Quantidade de Intervenções</v>
      </c>
      <c r="C312" s="89">
        <f>OBSOLETO!R695</f>
        <v>16</v>
      </c>
      <c r="D312" s="90" t="str">
        <f>OBSOLETO!S695</f>
        <v>H</v>
      </c>
      <c r="E312" s="90">
        <v>88267</v>
      </c>
      <c r="F312" s="91" t="s">
        <v>28</v>
      </c>
      <c r="G312" s="32">
        <f t="shared" si="136"/>
        <v>32.049999999999997</v>
      </c>
      <c r="H312" s="92">
        <v>0.2639754597701145</v>
      </c>
      <c r="I312" s="213">
        <f>ROUND(G312*H312,2)</f>
        <v>8.4600000000000009</v>
      </c>
      <c r="J312" s="313">
        <f t="shared" si="135"/>
        <v>648.16</v>
      </c>
      <c r="L312" s="545"/>
    </row>
    <row r="313" spans="1:12">
      <c r="A313" s="90" t="str">
        <f>OBSOLETO!D696</f>
        <v>9.6.4</v>
      </c>
      <c r="B313" s="109" t="str">
        <f>OBSOLETO!E696</f>
        <v>Auxiliar de encanador com Encargos Complementares 8 h/intervenção x Quantidade de Intervenções</v>
      </c>
      <c r="C313" s="89">
        <f>OBSOLETO!R696</f>
        <v>16</v>
      </c>
      <c r="D313" s="90" t="str">
        <f>OBSOLETO!S696</f>
        <v>H</v>
      </c>
      <c r="E313" s="90">
        <v>88248</v>
      </c>
      <c r="F313" s="91" t="s">
        <v>28</v>
      </c>
      <c r="G313" s="32">
        <f t="shared" si="136"/>
        <v>27.57</v>
      </c>
      <c r="H313" s="92">
        <v>0.2639754597701145</v>
      </c>
      <c r="I313" s="213">
        <f t="shared" ref="I313:I315" si="137">ROUND(G313*H313,2)</f>
        <v>7.28</v>
      </c>
      <c r="J313" s="313">
        <f t="shared" si="135"/>
        <v>557.6</v>
      </c>
      <c r="L313" s="545"/>
    </row>
    <row r="314" spans="1:12">
      <c r="A314" s="90" t="str">
        <f>OBSOLETO!D697</f>
        <v>9.6.5</v>
      </c>
      <c r="B314" s="109" t="str">
        <f>OBSOLETO!E697</f>
        <v>Pedreiro com encargos complementares 4h/caixa abrigo x Quantidade de Caixa abrigo</v>
      </c>
      <c r="C314" s="89">
        <f>OBSOLETO!R697</f>
        <v>4</v>
      </c>
      <c r="D314" s="90" t="str">
        <f>OBSOLETO!S697</f>
        <v>H</v>
      </c>
      <c r="E314" s="90">
        <v>88309</v>
      </c>
      <c r="F314" s="91" t="s">
        <v>28</v>
      </c>
      <c r="G314" s="32">
        <f t="shared" si="136"/>
        <v>30.54</v>
      </c>
      <c r="H314" s="92">
        <v>0.2639754597701145</v>
      </c>
      <c r="I314" s="213">
        <f t="shared" si="137"/>
        <v>8.06</v>
      </c>
      <c r="J314" s="313">
        <f t="shared" si="135"/>
        <v>154.4</v>
      </c>
      <c r="L314" s="545"/>
    </row>
    <row r="315" spans="1:12">
      <c r="A315" s="90" t="str">
        <f>OBSOLETO!D698</f>
        <v>9.6.6</v>
      </c>
      <c r="B315" s="109" t="str">
        <f>OBSOLETO!E698</f>
        <v>Aj. de Pedreiro com encargos complementares 4 h/caixa abrigo x Quantidade de Caixa abrigo</v>
      </c>
      <c r="C315" s="89">
        <f>OBSOLETO!R698</f>
        <v>4</v>
      </c>
      <c r="D315" s="90" t="str">
        <f>OBSOLETO!S698</f>
        <v>H</v>
      </c>
      <c r="E315" s="90">
        <v>88242</v>
      </c>
      <c r="F315" s="91" t="s">
        <v>28</v>
      </c>
      <c r="G315" s="32">
        <f t="shared" si="136"/>
        <v>26.35</v>
      </c>
      <c r="H315" s="92">
        <v>0.2639754597701145</v>
      </c>
      <c r="I315" s="213">
        <f t="shared" si="137"/>
        <v>6.96</v>
      </c>
      <c r="J315" s="313">
        <f t="shared" si="135"/>
        <v>133.24</v>
      </c>
      <c r="L315" s="545"/>
    </row>
    <row r="316" spans="1:12">
      <c r="A316" s="411" t="str">
        <f>OBSOLETO!C701</f>
        <v>9.7</v>
      </c>
      <c r="B316" s="112" t="str">
        <f>OBSOLETO!D701</f>
        <v>Serviços Finais</v>
      </c>
      <c r="C316" s="113"/>
      <c r="D316" s="113"/>
      <c r="E316" s="113"/>
      <c r="F316" s="113"/>
      <c r="G316" s="113"/>
      <c r="H316" s="113"/>
      <c r="I316" s="214"/>
      <c r="J316" s="418"/>
    </row>
    <row r="317" spans="1:12">
      <c r="A317" s="649" t="str">
        <f>OBSOLETO!D703</f>
        <v>9.7.1</v>
      </c>
      <c r="B317" s="108" t="str">
        <f>OBSOLETO!E703</f>
        <v>Limpeza Final de Obra</v>
      </c>
      <c r="C317" s="89">
        <f>OBSOLETO!R705</f>
        <v>8</v>
      </c>
      <c r="D317" s="90" t="str">
        <f>OBSOLETO!S705</f>
        <v>m²</v>
      </c>
      <c r="E317" s="91" t="s">
        <v>28</v>
      </c>
      <c r="F317" s="90">
        <v>70190144</v>
      </c>
      <c r="G317" s="32">
        <f>G260</f>
        <v>11.52</v>
      </c>
      <c r="H317" s="92">
        <v>0</v>
      </c>
      <c r="I317" s="216">
        <f t="shared" ref="I317" si="138">ROUND(G317*H317,2)</f>
        <v>0</v>
      </c>
      <c r="J317" s="421">
        <f t="shared" ref="J317" si="139">ROUND(IF(ISNUMBER(I317),C317*(G317+I317),C317*G317),2)</f>
        <v>92.16</v>
      </c>
    </row>
    <row r="318" spans="1:12">
      <c r="A318" s="411" t="s">
        <v>576</v>
      </c>
      <c r="B318" s="112" t="s">
        <v>356</v>
      </c>
      <c r="C318" s="113"/>
      <c r="D318" s="113"/>
      <c r="E318" s="113"/>
      <c r="F318" s="113"/>
      <c r="G318" s="113"/>
      <c r="H318" s="113"/>
      <c r="I318" s="214"/>
      <c r="J318" s="418"/>
    </row>
    <row r="319" spans="1:12">
      <c r="A319" s="27" t="s">
        <v>577</v>
      </c>
      <c r="B319" s="47" t="s">
        <v>754</v>
      </c>
      <c r="C319" s="30">
        <v>1</v>
      </c>
      <c r="D319" s="27" t="s">
        <v>987</v>
      </c>
      <c r="E319" s="936" t="s">
        <v>183</v>
      </c>
      <c r="F319" s="937"/>
      <c r="G319" s="255" t="e">
        <f>#REF!</f>
        <v>#REF!</v>
      </c>
      <c r="H319" s="42">
        <f>BDI!$E$35</f>
        <v>0.14012827909185233</v>
      </c>
      <c r="I319" s="217" t="e">
        <f t="shared" ref="I319:I323" si="140">ROUND(G319*H319,2)</f>
        <v>#REF!</v>
      </c>
      <c r="J319" s="313" t="e">
        <f t="shared" ref="J319:J323" si="141">ROUND(IF(ISNUMBER(I319),C319*(G319+I319),C319*G319),2)</f>
        <v>#REF!</v>
      </c>
    </row>
    <row r="320" spans="1:12">
      <c r="A320" s="27" t="s">
        <v>599</v>
      </c>
      <c r="B320" s="47" t="s">
        <v>368</v>
      </c>
      <c r="C320" s="30">
        <v>2</v>
      </c>
      <c r="D320" s="27" t="s">
        <v>987</v>
      </c>
      <c r="E320" s="26" t="s">
        <v>28</v>
      </c>
      <c r="F320" s="26" t="s">
        <v>367</v>
      </c>
      <c r="G320" s="255">
        <f>G265</f>
        <v>329.75</v>
      </c>
      <c r="H320" s="42">
        <v>0</v>
      </c>
      <c r="I320" s="217">
        <f t="shared" si="140"/>
        <v>0</v>
      </c>
      <c r="J320" s="313">
        <f t="shared" si="141"/>
        <v>659.5</v>
      </c>
    </row>
    <row r="321" spans="1:10">
      <c r="A321" s="27" t="s">
        <v>772</v>
      </c>
      <c r="B321" s="47" t="s">
        <v>370</v>
      </c>
      <c r="C321" s="30">
        <v>2</v>
      </c>
      <c r="D321" s="27" t="s">
        <v>987</v>
      </c>
      <c r="E321" s="26" t="s">
        <v>28</v>
      </c>
      <c r="F321" s="26" t="s">
        <v>369</v>
      </c>
      <c r="G321" s="255">
        <f>G266</f>
        <v>573.39</v>
      </c>
      <c r="H321" s="42">
        <v>0</v>
      </c>
      <c r="I321" s="217">
        <f t="shared" si="140"/>
        <v>0</v>
      </c>
      <c r="J321" s="313">
        <f t="shared" si="141"/>
        <v>1146.78</v>
      </c>
    </row>
    <row r="322" spans="1:10">
      <c r="A322" s="27" t="s">
        <v>773</v>
      </c>
      <c r="B322" s="47" t="s">
        <v>372</v>
      </c>
      <c r="C322" s="30">
        <v>2</v>
      </c>
      <c r="D322" s="27" t="s">
        <v>987</v>
      </c>
      <c r="E322" s="26" t="s">
        <v>28</v>
      </c>
      <c r="F322" s="26" t="s">
        <v>371</v>
      </c>
      <c r="G322" s="255">
        <f>G267</f>
        <v>377.92</v>
      </c>
      <c r="H322" s="42">
        <v>0</v>
      </c>
      <c r="I322" s="217">
        <f t="shared" si="140"/>
        <v>0</v>
      </c>
      <c r="J322" s="313">
        <f t="shared" si="141"/>
        <v>755.84</v>
      </c>
    </row>
    <row r="323" spans="1:10">
      <c r="A323" s="27" t="s">
        <v>774</v>
      </c>
      <c r="B323" s="47" t="s">
        <v>373</v>
      </c>
      <c r="C323" s="30">
        <v>2</v>
      </c>
      <c r="D323" s="27" t="s">
        <v>987</v>
      </c>
      <c r="E323" s="26" t="s">
        <v>28</v>
      </c>
      <c r="F323" s="26" t="s">
        <v>374</v>
      </c>
      <c r="G323" s="255">
        <f>G268</f>
        <v>28.64</v>
      </c>
      <c r="H323" s="42">
        <v>0</v>
      </c>
      <c r="I323" s="217">
        <f t="shared" si="140"/>
        <v>0</v>
      </c>
      <c r="J323" s="313">
        <f t="shared" si="141"/>
        <v>57.28</v>
      </c>
    </row>
    <row r="324" spans="1:10">
      <c r="A324" s="411" t="str">
        <f>OBSOLETO!C708</f>
        <v>9.9</v>
      </c>
      <c r="B324" s="112" t="str">
        <f>OBSOLETO!D708</f>
        <v>Macromedidor do Poço - Instalação</v>
      </c>
      <c r="C324" s="113"/>
      <c r="D324" s="113"/>
      <c r="E324" s="113"/>
      <c r="F324" s="113"/>
      <c r="G324" s="113"/>
      <c r="H324" s="113"/>
      <c r="I324" s="214"/>
      <c r="J324" s="418"/>
    </row>
    <row r="325" spans="1:10">
      <c r="A325" s="413" t="str">
        <f>OBSOLETO!D709</f>
        <v>9.9.1</v>
      </c>
      <c r="B325" s="109" t="str">
        <f>OBSOLETO!E709</f>
        <v>Engenheiro Civil de obras com Encargos Complementares 4 h/dia x 2 dias</v>
      </c>
      <c r="C325" s="30">
        <f>OBSOLETO!R709</f>
        <v>8</v>
      </c>
      <c r="D325" s="27" t="str">
        <f>OBSOLETO!S709</f>
        <v>H</v>
      </c>
      <c r="E325" s="26" t="s">
        <v>1111</v>
      </c>
      <c r="F325" s="26" t="s">
        <v>28</v>
      </c>
      <c r="G325" s="255">
        <f>G270</f>
        <v>127.08</v>
      </c>
      <c r="H325" s="33">
        <f>BDI!$E$19</f>
        <v>0.24117279049169804</v>
      </c>
      <c r="I325" s="218">
        <f t="shared" ref="I325:I329" si="142">ROUND(G325*H325,2)</f>
        <v>30.65</v>
      </c>
      <c r="J325" s="313">
        <f t="shared" ref="J325:J329" si="143">ROUND(IF(ISNUMBER(I325),C325*(G325+I325),C325*G325),2)</f>
        <v>1261.8399999999999</v>
      </c>
    </row>
    <row r="326" spans="1:10">
      <c r="A326" s="413" t="str">
        <f>OBSOLETO!D710</f>
        <v>9.9.2</v>
      </c>
      <c r="B326" s="109" t="str">
        <f>OBSOLETO!E710</f>
        <v>Encarregado Geral com Encargos Complementares 8 h/dia x 2 dias</v>
      </c>
      <c r="C326" s="30">
        <f>OBSOLETO!R710</f>
        <v>16</v>
      </c>
      <c r="D326" s="27" t="str">
        <f>OBSOLETO!S710</f>
        <v>H</v>
      </c>
      <c r="E326" s="26" t="s">
        <v>1113</v>
      </c>
      <c r="F326" s="26" t="s">
        <v>28</v>
      </c>
      <c r="G326" s="255">
        <f t="shared" ref="G326:G329" si="144">G271</f>
        <v>38.46</v>
      </c>
      <c r="H326" s="33">
        <f>BDI!$E$19</f>
        <v>0.24117279049169804</v>
      </c>
      <c r="I326" s="218">
        <f t="shared" si="142"/>
        <v>9.2799999999999994</v>
      </c>
      <c r="J326" s="313">
        <f t="shared" si="143"/>
        <v>763.84</v>
      </c>
    </row>
    <row r="327" spans="1:10">
      <c r="A327" s="413" t="str">
        <f>OBSOLETO!D711</f>
        <v>9.9.3</v>
      </c>
      <c r="B327" s="109" t="str">
        <f>OBSOLETO!E711</f>
        <v>Encanador com Encargos Complementares 8 h/dia x 2 dias x 1 profiss.</v>
      </c>
      <c r="C327" s="30">
        <f>OBSOLETO!R711</f>
        <v>16</v>
      </c>
      <c r="D327" s="27" t="str">
        <f>OBSOLETO!S711</f>
        <v>H</v>
      </c>
      <c r="E327" s="26" t="s">
        <v>1115</v>
      </c>
      <c r="F327" s="26" t="s">
        <v>28</v>
      </c>
      <c r="G327" s="255">
        <f t="shared" si="144"/>
        <v>32.049999999999997</v>
      </c>
      <c r="H327" s="33">
        <f>BDI!$E$19</f>
        <v>0.24117279049169804</v>
      </c>
      <c r="I327" s="218">
        <f t="shared" si="142"/>
        <v>7.73</v>
      </c>
      <c r="J327" s="313">
        <f t="shared" si="143"/>
        <v>636.48</v>
      </c>
    </row>
    <row r="328" spans="1:10">
      <c r="A328" s="413" t="str">
        <f>OBSOLETO!D712</f>
        <v>9.9.4</v>
      </c>
      <c r="B328" s="109" t="str">
        <f>OBSOLETO!E712</f>
        <v>Auxiliar de encanador com Encargos Complementares 8 h/dia x 2 dias x 1 profiss.</v>
      </c>
      <c r="C328" s="30">
        <f>OBSOLETO!R712</f>
        <v>16</v>
      </c>
      <c r="D328" s="27" t="str">
        <f>OBSOLETO!S712</f>
        <v>H</v>
      </c>
      <c r="E328" s="26" t="s">
        <v>1117</v>
      </c>
      <c r="F328" s="26" t="s">
        <v>28</v>
      </c>
      <c r="G328" s="255">
        <f t="shared" si="144"/>
        <v>27.57</v>
      </c>
      <c r="H328" s="33">
        <f>BDI!$E$19</f>
        <v>0.24117279049169804</v>
      </c>
      <c r="I328" s="218">
        <f t="shared" si="142"/>
        <v>6.65</v>
      </c>
      <c r="J328" s="313">
        <f t="shared" si="143"/>
        <v>547.52</v>
      </c>
    </row>
    <row r="329" spans="1:10">
      <c r="A329" s="413" t="str">
        <f>OBSOLETO!D713</f>
        <v>9.9.5</v>
      </c>
      <c r="B329" s="109" t="str">
        <f>OBSOLETO!E713</f>
        <v>Motorista de Veículo Leve com Encargos Complementares 8 h/ dia x 2 dias x 1 profiss.</v>
      </c>
      <c r="C329" s="30">
        <f>OBSOLETO!R713</f>
        <v>16</v>
      </c>
      <c r="D329" s="27" t="str">
        <f>OBSOLETO!S713</f>
        <v>H</v>
      </c>
      <c r="E329" s="26" t="s">
        <v>1118</v>
      </c>
      <c r="F329" s="26" t="s">
        <v>28</v>
      </c>
      <c r="G329" s="255">
        <f t="shared" si="144"/>
        <v>26.82</v>
      </c>
      <c r="H329" s="33">
        <f>BDI!$E$19</f>
        <v>0.24117279049169804</v>
      </c>
      <c r="I329" s="218">
        <f t="shared" si="142"/>
        <v>6.47</v>
      </c>
      <c r="J329" s="313">
        <f t="shared" si="143"/>
        <v>532.64</v>
      </c>
    </row>
    <row r="330" spans="1:10">
      <c r="A330" s="411" t="str">
        <f>OBSOLETO!C715</f>
        <v>9.10</v>
      </c>
      <c r="B330" s="112" t="str">
        <f>OBSOLETO!D715</f>
        <v>Aferição e Calibração de Macromedidor com equipamento do tipo ultrassônico</v>
      </c>
      <c r="C330" s="113"/>
      <c r="D330" s="113"/>
      <c r="E330" s="113"/>
      <c r="F330" s="113"/>
      <c r="G330" s="113"/>
      <c r="H330" s="113"/>
      <c r="I330" s="214"/>
      <c r="J330" s="418"/>
    </row>
    <row r="331" spans="1:10">
      <c r="A331" s="413" t="str">
        <f>OBSOLETO!D716</f>
        <v>9.10.1</v>
      </c>
      <c r="B331" s="109" t="str">
        <f>OBSOLETO!E716</f>
        <v>Engenheiro Civil de obras com Encargos Complementares 4 h/dia x 1 dia</v>
      </c>
      <c r="C331" s="30">
        <f>OBSOLETO!R716</f>
        <v>4</v>
      </c>
      <c r="D331" s="27" t="s">
        <v>352</v>
      </c>
      <c r="E331" s="26" t="s">
        <v>1111</v>
      </c>
      <c r="F331" s="26" t="s">
        <v>28</v>
      </c>
      <c r="G331" s="255">
        <f>G325</f>
        <v>127.08</v>
      </c>
      <c r="H331" s="33">
        <f>BDI!$E$19</f>
        <v>0.24117279049169804</v>
      </c>
      <c r="I331" s="218">
        <f t="shared" ref="I331:I333" si="145">ROUND(G331*H331,2)</f>
        <v>30.65</v>
      </c>
      <c r="J331" s="313">
        <f t="shared" ref="J331:J333" si="146">ROUND(IF(ISNUMBER(I331),C331*(G331+I331),C331*G331),2)</f>
        <v>630.91999999999996</v>
      </c>
    </row>
    <row r="332" spans="1:10">
      <c r="A332" s="413" t="str">
        <f>OBSOLETO!D717</f>
        <v>9.10.2</v>
      </c>
      <c r="B332" s="109" t="str">
        <f>OBSOLETO!E717</f>
        <v>Encanador com Encargos Complementares 8 h/dia x 1 dias x 1 profiss.</v>
      </c>
      <c r="C332" s="30">
        <f>OBSOLETO!R717</f>
        <v>8</v>
      </c>
      <c r="D332" s="27" t="s">
        <v>352</v>
      </c>
      <c r="E332" s="26" t="s">
        <v>1115</v>
      </c>
      <c r="F332" s="26" t="s">
        <v>28</v>
      </c>
      <c r="G332" s="255">
        <f>G327</f>
        <v>32.049999999999997</v>
      </c>
      <c r="H332" s="33">
        <f>BDI!$E$19</f>
        <v>0.24117279049169804</v>
      </c>
      <c r="I332" s="218">
        <f t="shared" si="145"/>
        <v>7.73</v>
      </c>
      <c r="J332" s="313">
        <f t="shared" si="146"/>
        <v>318.24</v>
      </c>
    </row>
    <row r="333" spans="1:10">
      <c r="A333" s="413" t="str">
        <f>OBSOLETO!D718</f>
        <v>9.10.3</v>
      </c>
      <c r="B333" s="109" t="str">
        <f>OBSOLETO!E718</f>
        <v>Auxiliar de encanador com Encargos Complementares 8 h/dia x 1 dias x 1 profiss.</v>
      </c>
      <c r="C333" s="30">
        <f>OBSOLETO!R718</f>
        <v>8</v>
      </c>
      <c r="D333" s="27" t="s">
        <v>352</v>
      </c>
      <c r="E333" s="26" t="s">
        <v>1117</v>
      </c>
      <c r="F333" s="26" t="s">
        <v>28</v>
      </c>
      <c r="G333" s="255">
        <f>G328</f>
        <v>27.57</v>
      </c>
      <c r="H333" s="33">
        <f>BDI!$E$19</f>
        <v>0.24117279049169804</v>
      </c>
      <c r="I333" s="218">
        <f t="shared" si="145"/>
        <v>6.65</v>
      </c>
      <c r="J333" s="313">
        <f t="shared" si="146"/>
        <v>273.76</v>
      </c>
    </row>
    <row r="334" spans="1:10">
      <c r="A334" s="27"/>
      <c r="B334" s="2"/>
      <c r="C334" s="30"/>
      <c r="D334" s="27"/>
      <c r="E334" s="26"/>
      <c r="F334" s="26"/>
      <c r="G334" s="28"/>
      <c r="H334" s="48"/>
      <c r="I334" s="234" t="s">
        <v>1143</v>
      </c>
      <c r="J334" s="414" t="e">
        <f>SUM(J284:J333)</f>
        <v>#REF!</v>
      </c>
    </row>
    <row r="335" spans="1:10">
      <c r="A335" s="411"/>
      <c r="B335" s="626" t="str">
        <f>OBSOLETO!C721</f>
        <v>IMPLANTAÇÃO DA ADUTORA do RESERVATÓRIO DE 200m³ existente dentro do Setor 07 (Distrito Industrial I) para abastecimento do SETOR 06 (Estação)</v>
      </c>
      <c r="C335" s="107"/>
      <c r="D335" s="107"/>
      <c r="E335" s="107"/>
      <c r="F335" s="107"/>
      <c r="G335" s="107"/>
      <c r="H335" s="107"/>
      <c r="I335" s="107"/>
      <c r="J335" s="417"/>
    </row>
    <row r="336" spans="1:10">
      <c r="A336" s="411" t="s">
        <v>799</v>
      </c>
      <c r="B336" s="112" t="s">
        <v>1039</v>
      </c>
      <c r="C336" s="113"/>
      <c r="D336" s="113"/>
      <c r="E336" s="113"/>
      <c r="F336" s="113"/>
      <c r="G336" s="113"/>
      <c r="H336" s="113"/>
      <c r="I336" s="113"/>
      <c r="J336" s="420"/>
    </row>
    <row r="337" spans="1:10">
      <c r="A337" s="413" t="s">
        <v>800</v>
      </c>
      <c r="B337" s="109" t="s">
        <v>1144</v>
      </c>
      <c r="C337" s="30">
        <v>1</v>
      </c>
      <c r="D337" s="90" t="s">
        <v>987</v>
      </c>
      <c r="E337" s="927" t="s">
        <v>183</v>
      </c>
      <c r="F337" s="928"/>
      <c r="G337" s="255" t="e">
        <f>#REF!</f>
        <v>#REF!</v>
      </c>
      <c r="H337" s="33">
        <v>0</v>
      </c>
      <c r="I337" s="218" t="e">
        <f t="shared" ref="I337" si="147">ROUND(G337*H337,2)</f>
        <v>#REF!</v>
      </c>
      <c r="J337" s="313" t="e">
        <f t="shared" ref="J337" si="148">ROUND(IF(ISNUMBER(I337),C337*(G337+I337),C337*G337),2)</f>
        <v>#REF!</v>
      </c>
    </row>
    <row r="338" spans="1:10">
      <c r="A338" s="411"/>
      <c r="B338" s="112" t="s">
        <v>1043</v>
      </c>
      <c r="C338" s="113"/>
      <c r="D338" s="113"/>
      <c r="E338" s="113"/>
      <c r="F338" s="113"/>
      <c r="G338" s="113"/>
      <c r="H338" s="113"/>
      <c r="I338" s="113"/>
      <c r="J338" s="420"/>
    </row>
    <row r="339" spans="1:10">
      <c r="A339" s="411" t="str">
        <f>OBSOLETO!C723</f>
        <v>9.12</v>
      </c>
      <c r="B339" s="112" t="str">
        <f>OBSOLETO!D723</f>
        <v>Preparo de solo, abertura de valas, compactação e fechamento de valas</v>
      </c>
      <c r="C339" s="113"/>
      <c r="D339" s="113"/>
      <c r="E339" s="113"/>
      <c r="F339" s="113"/>
      <c r="G339" s="113"/>
      <c r="H339" s="113"/>
      <c r="I339" s="113"/>
      <c r="J339" s="420"/>
    </row>
    <row r="340" spans="1:10" ht="25.5">
      <c r="A340" s="413" t="str">
        <f>OBSOLETO!D744</f>
        <v>9.12.1</v>
      </c>
      <c r="B340" s="109" t="str">
        <f>OBSOLETO!E744</f>
        <v>Retroescavadeira sobre rodas com carregadeira, Tração 4X4, Potência LÍQ. 88 HP, Caçamba Carreg. Cap. Mín. 1 m³, Caçamba Retro Cap. 0,26 m³, peso operacional mín. 6.674 KG, profundidade de escavação máx. 4,37 m</v>
      </c>
      <c r="C340" s="253">
        <f>OBSOLETO!R746</f>
        <v>20</v>
      </c>
      <c r="D340" s="90" t="str">
        <f>OBSOLETO!S746</f>
        <v>CHP</v>
      </c>
      <c r="E340" s="254">
        <v>5678</v>
      </c>
      <c r="F340" s="235" t="s">
        <v>28</v>
      </c>
      <c r="G340" s="255">
        <f>G290</f>
        <v>153.33000000000001</v>
      </c>
      <c r="H340" s="33">
        <f>BDI!$E$19</f>
        <v>0.24117279049169804</v>
      </c>
      <c r="I340" s="218">
        <f t="shared" ref="I340:I344" si="149">ROUND(G340*H340,2)</f>
        <v>36.979999999999997</v>
      </c>
      <c r="J340" s="313">
        <f t="shared" ref="J340:J342" si="150">ROUND(IF(ISNUMBER(I340),C340*(G340+I340),C340*G340),2)</f>
        <v>3806.2</v>
      </c>
    </row>
    <row r="341" spans="1:10">
      <c r="A341" s="413" t="str">
        <f>OBSOLETO!D749</f>
        <v>9.12.2</v>
      </c>
      <c r="B341" s="109" t="str">
        <f>OBSOLETO!E749</f>
        <v>Compactação mecanizada, com controle do G.C.&gt;95% - em áreas</v>
      </c>
      <c r="C341" s="253">
        <f>OBSOLETO!R751</f>
        <v>1.6</v>
      </c>
      <c r="D341" s="90" t="str">
        <f>OBSOLETO!S751</f>
        <v>m³</v>
      </c>
      <c r="E341" s="254" t="s">
        <v>28</v>
      </c>
      <c r="F341" s="235">
        <v>70030037</v>
      </c>
      <c r="G341" s="255">
        <v>12.97</v>
      </c>
      <c r="H341" s="33">
        <v>0</v>
      </c>
      <c r="I341" s="218">
        <f t="shared" si="149"/>
        <v>0</v>
      </c>
      <c r="J341" s="313">
        <f t="shared" si="150"/>
        <v>20.75</v>
      </c>
    </row>
    <row r="342" spans="1:10">
      <c r="A342" s="413" t="str">
        <f>OBSOLETO!D754</f>
        <v>9.12.3</v>
      </c>
      <c r="B342" s="109" t="str">
        <f>OBSOLETO!E754</f>
        <v xml:space="preserve">Escoramento Contínuo </v>
      </c>
      <c r="C342" s="253">
        <f>OBSOLETO!R760</f>
        <v>16</v>
      </c>
      <c r="D342" s="90" t="str">
        <f>OBSOLETO!S760</f>
        <v>m²</v>
      </c>
      <c r="E342" s="254">
        <v>101583</v>
      </c>
      <c r="F342" s="235" t="s">
        <v>28</v>
      </c>
      <c r="G342" s="255">
        <f>G292</f>
        <v>97.45</v>
      </c>
      <c r="H342" s="92">
        <v>0</v>
      </c>
      <c r="I342" s="218">
        <f t="shared" si="149"/>
        <v>0</v>
      </c>
      <c r="J342" s="421">
        <f t="shared" si="150"/>
        <v>1559.2</v>
      </c>
    </row>
    <row r="343" spans="1:10">
      <c r="A343" s="413" t="str">
        <f>OBSOLETO!D763</f>
        <v>9.12.4</v>
      </c>
      <c r="B343" s="109" t="str">
        <f>OBSOLETO!E763</f>
        <v>Reaterro mecanizado de vala</v>
      </c>
      <c r="C343" s="253">
        <f>OBSOLETO!R765</f>
        <v>24</v>
      </c>
      <c r="D343" s="90" t="str">
        <f>OBSOLETO!S765</f>
        <v>m³</v>
      </c>
      <c r="E343" s="254">
        <v>93360</v>
      </c>
      <c r="F343" s="235" t="s">
        <v>28</v>
      </c>
      <c r="G343" s="255">
        <f>G293</f>
        <v>24.08</v>
      </c>
      <c r="H343" s="33">
        <f>H340</f>
        <v>0.24117279049169804</v>
      </c>
      <c r="I343" s="218">
        <f t="shared" si="149"/>
        <v>5.81</v>
      </c>
      <c r="J343" s="313">
        <f t="shared" ref="J343:J344" si="151">ROUND(IF(ISNUMBER(I343),C343*(G343+I343),C343*G343),2)</f>
        <v>717.36</v>
      </c>
    </row>
    <row r="344" spans="1:10">
      <c r="A344" s="413" t="str">
        <f>OBSOLETO!D768</f>
        <v>9.12.5</v>
      </c>
      <c r="B344" s="109" t="str">
        <f>OBSOLETO!E768</f>
        <v>Remoção de entulho inclusive a carga, transporte e descarga em bota fora a qualquer distância</v>
      </c>
      <c r="C344" s="253">
        <f>OBSOLETO!R770</f>
        <v>8</v>
      </c>
      <c r="D344" s="90" t="str">
        <f>OBSOLETO!S770</f>
        <v>m³</v>
      </c>
      <c r="E344" s="254"/>
      <c r="F344" s="235">
        <v>70190145</v>
      </c>
      <c r="G344" s="255">
        <v>136.94999999999999</v>
      </c>
      <c r="H344" s="33">
        <v>0</v>
      </c>
      <c r="I344" s="218">
        <f t="shared" si="149"/>
        <v>0</v>
      </c>
      <c r="J344" s="313">
        <f t="shared" si="151"/>
        <v>1095.5999999999999</v>
      </c>
    </row>
    <row r="345" spans="1:10">
      <c r="A345" s="411" t="s">
        <v>807</v>
      </c>
      <c r="B345" s="112" t="s">
        <v>1141</v>
      </c>
      <c r="C345" s="113"/>
      <c r="D345" s="113"/>
      <c r="E345" s="113"/>
      <c r="F345" s="113"/>
      <c r="G345" s="113"/>
      <c r="H345" s="113"/>
      <c r="I345" s="113"/>
      <c r="J345" s="420"/>
    </row>
    <row r="346" spans="1:10">
      <c r="A346" s="413" t="s">
        <v>808</v>
      </c>
      <c r="B346" s="310" t="s">
        <v>1040</v>
      </c>
      <c r="C346" s="311">
        <v>1</v>
      </c>
      <c r="D346" s="128" t="s">
        <v>987</v>
      </c>
      <c r="E346" s="931" t="s">
        <v>183</v>
      </c>
      <c r="F346" s="932"/>
      <c r="G346" s="255" t="e">
        <f>#REF!</f>
        <v>#REF!</v>
      </c>
      <c r="H346" s="33">
        <f>BDI!$E$35</f>
        <v>0.14012827909185233</v>
      </c>
      <c r="I346" s="218" t="e">
        <f t="shared" ref="I346:I352" si="152">ROUND(G346*H346,2)</f>
        <v>#REF!</v>
      </c>
      <c r="J346" s="313" t="e">
        <f t="shared" ref="J346:J352" si="153">ROUND(IF(ISNUMBER(I346),C346*(G346+I346),C346*G346),2)</f>
        <v>#REF!</v>
      </c>
    </row>
    <row r="347" spans="1:10">
      <c r="A347" s="413" t="s">
        <v>910</v>
      </c>
      <c r="B347" s="310" t="s">
        <v>1041</v>
      </c>
      <c r="C347" s="311">
        <v>2</v>
      </c>
      <c r="D347" s="128" t="s">
        <v>987</v>
      </c>
      <c r="E347" s="254"/>
      <c r="F347" s="235" t="s">
        <v>1042</v>
      </c>
      <c r="G347" s="255">
        <v>1474.73</v>
      </c>
      <c r="H347" s="33">
        <v>0</v>
      </c>
      <c r="I347" s="218">
        <f t="shared" ref="I347:I349" si="154">ROUND(G347*H347,2)</f>
        <v>0</v>
      </c>
      <c r="J347" s="313">
        <f t="shared" ref="J347:J349" si="155">ROUND(IF(ISNUMBER(I347),C347*(G347+I347),C347*G347),2)</f>
        <v>2949.46</v>
      </c>
    </row>
    <row r="348" spans="1:10">
      <c r="A348" s="413" t="s">
        <v>913</v>
      </c>
      <c r="B348" s="47" t="s">
        <v>1047</v>
      </c>
      <c r="C348" s="311">
        <v>2</v>
      </c>
      <c r="D348" s="128" t="s">
        <v>987</v>
      </c>
      <c r="E348" s="254"/>
      <c r="F348" s="26" t="s">
        <v>237</v>
      </c>
      <c r="G348" s="255">
        <v>789.95</v>
      </c>
      <c r="H348" s="33">
        <v>0</v>
      </c>
      <c r="I348" s="218">
        <f t="shared" si="154"/>
        <v>0</v>
      </c>
      <c r="J348" s="313">
        <f t="shared" si="155"/>
        <v>1579.9</v>
      </c>
    </row>
    <row r="349" spans="1:10">
      <c r="A349" s="413" t="s">
        <v>915</v>
      </c>
      <c r="B349" s="310" t="s">
        <v>1044</v>
      </c>
      <c r="C349" s="311">
        <v>2</v>
      </c>
      <c r="D349" s="128" t="s">
        <v>987</v>
      </c>
      <c r="E349" s="254"/>
      <c r="F349" s="235" t="s">
        <v>220</v>
      </c>
      <c r="G349" s="255">
        <v>577.07000000000005</v>
      </c>
      <c r="H349" s="33">
        <v>0</v>
      </c>
      <c r="I349" s="218">
        <f t="shared" si="154"/>
        <v>0</v>
      </c>
      <c r="J349" s="313">
        <f t="shared" si="155"/>
        <v>1154.1400000000001</v>
      </c>
    </row>
    <row r="350" spans="1:10">
      <c r="A350" s="413" t="s">
        <v>916</v>
      </c>
      <c r="B350" s="312" t="s">
        <v>1050</v>
      </c>
      <c r="C350" s="311">
        <v>2</v>
      </c>
      <c r="D350" s="128" t="s">
        <v>909</v>
      </c>
      <c r="E350" s="254"/>
      <c r="F350" s="235" t="s">
        <v>1045</v>
      </c>
      <c r="G350" s="255">
        <v>617.84</v>
      </c>
      <c r="H350" s="33">
        <v>0</v>
      </c>
      <c r="I350" s="218">
        <f t="shared" ref="I350" si="156">ROUND(G350*H350,2)</f>
        <v>0</v>
      </c>
      <c r="J350" s="313">
        <f t="shared" ref="J350" si="157">ROUND(IF(ISNUMBER(I350),C350*(G350+I350),C350*G350),2)</f>
        <v>1235.68</v>
      </c>
    </row>
    <row r="351" spans="1:10">
      <c r="A351" s="413" t="s">
        <v>917</v>
      </c>
      <c r="B351" s="312" t="s">
        <v>908</v>
      </c>
      <c r="C351" s="311">
        <v>2</v>
      </c>
      <c r="D351" s="128" t="s">
        <v>909</v>
      </c>
      <c r="E351" s="254"/>
      <c r="F351" s="235" t="s">
        <v>371</v>
      </c>
      <c r="G351" s="255">
        <v>377.92</v>
      </c>
      <c r="H351" s="33">
        <v>0</v>
      </c>
      <c r="I351" s="218">
        <f t="shared" si="152"/>
        <v>0</v>
      </c>
      <c r="J351" s="313">
        <f t="shared" si="153"/>
        <v>755.84</v>
      </c>
    </row>
    <row r="352" spans="1:10">
      <c r="A352" s="413" t="s">
        <v>918</v>
      </c>
      <c r="B352" s="312" t="s">
        <v>911</v>
      </c>
      <c r="C352" s="311">
        <v>1</v>
      </c>
      <c r="D352" s="128" t="s">
        <v>987</v>
      </c>
      <c r="E352" s="254"/>
      <c r="F352" s="235" t="s">
        <v>912</v>
      </c>
      <c r="G352" s="255">
        <v>553.5</v>
      </c>
      <c r="H352" s="92">
        <v>0</v>
      </c>
      <c r="I352" s="218">
        <f t="shared" si="152"/>
        <v>0</v>
      </c>
      <c r="J352" s="421">
        <f t="shared" si="153"/>
        <v>553.5</v>
      </c>
    </row>
    <row r="353" spans="1:10">
      <c r="A353" s="411" t="str">
        <f>OBSOLETO!C774</f>
        <v>9.14</v>
      </c>
      <c r="B353" s="112" t="str">
        <f>OBSOLETO!D774</f>
        <v>Macromedidor da Saída do Reservatório de 200 m³ - Instalação</v>
      </c>
      <c r="C353" s="113"/>
      <c r="D353" s="113"/>
      <c r="E353" s="113"/>
      <c r="F353" s="113"/>
      <c r="G353" s="113"/>
      <c r="H353" s="113"/>
      <c r="I353" s="113"/>
      <c r="J353" s="420"/>
    </row>
    <row r="354" spans="1:10">
      <c r="A354" s="413" t="str">
        <f>OBSOLETO!D785</f>
        <v>9.14.1</v>
      </c>
      <c r="B354" s="109" t="str">
        <f>OBSOLETO!E785</f>
        <v>Engenheiro Civil de obras com Encargos Complementares 4 h/dia x 2 dias</v>
      </c>
      <c r="C354" s="30">
        <f>OBSOLETO!R785</f>
        <v>8</v>
      </c>
      <c r="D354" s="27" t="str">
        <f>OBSOLETO!S785</f>
        <v>H</v>
      </c>
      <c r="E354" s="26" t="s">
        <v>1111</v>
      </c>
      <c r="F354" s="26" t="s">
        <v>28</v>
      </c>
      <c r="G354" s="255">
        <f>G331</f>
        <v>127.08</v>
      </c>
      <c r="H354" s="33">
        <f>BDI!$E$19</f>
        <v>0.24117279049169804</v>
      </c>
      <c r="I354" s="218">
        <f t="shared" ref="I354:I357" si="158">ROUND(G354*H354,2)</f>
        <v>30.65</v>
      </c>
      <c r="J354" s="313">
        <f t="shared" ref="J354:J366" si="159">ROUND(IF(ISNUMBER(I354),C354*(G354+I354),C354*G354),2)</f>
        <v>1261.8399999999999</v>
      </c>
    </row>
    <row r="355" spans="1:10">
      <c r="A355" s="413" t="str">
        <f>OBSOLETO!D786</f>
        <v>9.14.2</v>
      </c>
      <c r="B355" s="109" t="str">
        <f>OBSOLETO!E786</f>
        <v>Encarregado Geral com Encargos Complementares 8 h/dia x 2 dias</v>
      </c>
      <c r="C355" s="30">
        <f>OBSOLETO!R786</f>
        <v>16</v>
      </c>
      <c r="D355" s="27" t="str">
        <f>OBSOLETO!S786</f>
        <v>H</v>
      </c>
      <c r="E355" s="26" t="s">
        <v>1113</v>
      </c>
      <c r="F355" s="26" t="s">
        <v>28</v>
      </c>
      <c r="G355" s="255">
        <f>G326</f>
        <v>38.46</v>
      </c>
      <c r="H355" s="33">
        <f>BDI!$E$19</f>
        <v>0.24117279049169804</v>
      </c>
      <c r="I355" s="218">
        <f t="shared" si="158"/>
        <v>9.2799999999999994</v>
      </c>
      <c r="J355" s="313">
        <f t="shared" si="159"/>
        <v>763.84</v>
      </c>
    </row>
    <row r="356" spans="1:10">
      <c r="A356" s="413" t="str">
        <f>OBSOLETO!D787</f>
        <v>9.14.3</v>
      </c>
      <c r="B356" s="109" t="str">
        <f>OBSOLETO!E787</f>
        <v>Encanador com Encargos Complementares 8 h/dia x 2 dias x 1 profiss.</v>
      </c>
      <c r="C356" s="30">
        <f>OBSOLETO!R787</f>
        <v>16</v>
      </c>
      <c r="D356" s="27" t="str">
        <f>OBSOLETO!S787</f>
        <v>H</v>
      </c>
      <c r="E356" s="26" t="s">
        <v>1117</v>
      </c>
      <c r="F356" s="26" t="s">
        <v>28</v>
      </c>
      <c r="G356" s="255">
        <f>G327</f>
        <v>32.049999999999997</v>
      </c>
      <c r="H356" s="33">
        <f>BDI!$E$19</f>
        <v>0.24117279049169804</v>
      </c>
      <c r="I356" s="218">
        <f t="shared" si="158"/>
        <v>7.73</v>
      </c>
      <c r="J356" s="313">
        <f t="shared" si="159"/>
        <v>636.48</v>
      </c>
    </row>
    <row r="357" spans="1:10">
      <c r="A357" s="413" t="str">
        <f>OBSOLETO!D788</f>
        <v>9.14.4</v>
      </c>
      <c r="B357" s="109" t="str">
        <f>OBSOLETO!E788</f>
        <v>Auxiliar de encanador com Encargos Complementares 8 h/dia x 2 dias x 1 profiss.</v>
      </c>
      <c r="C357" s="30">
        <f>OBSOLETO!R788</f>
        <v>16</v>
      </c>
      <c r="D357" s="27" t="str">
        <f>OBSOLETO!S788</f>
        <v>H</v>
      </c>
      <c r="E357" s="26" t="s">
        <v>1115</v>
      </c>
      <c r="F357" s="26" t="s">
        <v>28</v>
      </c>
      <c r="G357" s="255">
        <f>G328</f>
        <v>27.57</v>
      </c>
      <c r="H357" s="33">
        <f>BDI!$E$19</f>
        <v>0.24117279049169804</v>
      </c>
      <c r="I357" s="218">
        <f t="shared" si="158"/>
        <v>6.65</v>
      </c>
      <c r="J357" s="313">
        <f t="shared" si="159"/>
        <v>547.52</v>
      </c>
    </row>
    <row r="358" spans="1:10">
      <c r="A358" s="426" t="str">
        <f>OBSOLETO!C791</f>
        <v>9.15</v>
      </c>
      <c r="B358" s="257" t="str">
        <f>OBSOLETO!D791</f>
        <v>Construção do abrigo para o Macromedidor - 2,00X2,00 m - 1 unid. - Materiais</v>
      </c>
      <c r="C358" s="258"/>
      <c r="D358" s="258"/>
      <c r="E358" s="258"/>
      <c r="F358" s="258"/>
      <c r="G358" s="258"/>
      <c r="H358" s="258"/>
      <c r="I358" s="259"/>
      <c r="J358" s="256"/>
    </row>
    <row r="359" spans="1:10">
      <c r="A359" s="90" t="str">
        <f>OBSOLETO!D793</f>
        <v>9.15.1</v>
      </c>
      <c r="B359" s="252" t="str">
        <f>OBSOLETO!E793</f>
        <v>Canaleta de concreto estrutural 14 x 19 x 39 cm, Fbk 14 Mpa (NBR 6136)</v>
      </c>
      <c r="C359" s="253">
        <f>OBSOLETO!G793</f>
        <v>75</v>
      </c>
      <c r="D359" s="90" t="str">
        <f>OBSOLETO!H793</f>
        <v>Und</v>
      </c>
      <c r="E359" s="254">
        <v>38600</v>
      </c>
      <c r="F359" s="235" t="s">
        <v>28</v>
      </c>
      <c r="G359" s="255">
        <v>5.71</v>
      </c>
      <c r="H359" s="92">
        <f>BDI!$E$35</f>
        <v>0.14012827909185233</v>
      </c>
      <c r="I359" s="218">
        <f t="shared" ref="I359:I366" si="160">ROUND(G359*H359,2)</f>
        <v>0.8</v>
      </c>
      <c r="J359" s="313">
        <f t="shared" si="159"/>
        <v>488.25</v>
      </c>
    </row>
    <row r="360" spans="1:10">
      <c r="A360" s="90" t="str">
        <f>OBSOLETO!D794</f>
        <v>9.15.2</v>
      </c>
      <c r="B360" s="252" t="str">
        <f>OBSOLETO!E794</f>
        <v>Bloco de concreto estrutural 14 x 19 x 39 cm, Fbk 14 Mpa (NBR 6136)</v>
      </c>
      <c r="C360" s="253">
        <f>OBSOLETO!G794</f>
        <v>181</v>
      </c>
      <c r="D360" s="90" t="str">
        <f>OBSOLETO!H794</f>
        <v>Und</v>
      </c>
      <c r="E360" s="254">
        <v>34570</v>
      </c>
      <c r="F360" s="235" t="s">
        <v>28</v>
      </c>
      <c r="G360" s="255">
        <v>5.31</v>
      </c>
      <c r="H360" s="92">
        <f>BDI!$E$35</f>
        <v>0.14012827909185233</v>
      </c>
      <c r="I360" s="218">
        <f t="shared" si="160"/>
        <v>0.74</v>
      </c>
      <c r="J360" s="313">
        <f t="shared" si="159"/>
        <v>1095.05</v>
      </c>
    </row>
    <row r="361" spans="1:10">
      <c r="A361" s="90" t="str">
        <f>OBSOLETO!D795</f>
        <v>9.15.3</v>
      </c>
      <c r="B361" s="252" t="str">
        <f>OBSOLETO!E795</f>
        <v>Cimento Portland composto CP II-32</v>
      </c>
      <c r="C361" s="253">
        <f>OBSOLETO!G795</f>
        <v>577.59715789784809</v>
      </c>
      <c r="D361" s="90" t="str">
        <f>OBSOLETO!H795</f>
        <v>KG</v>
      </c>
      <c r="E361" s="254">
        <v>1379</v>
      </c>
      <c r="F361" s="235" t="s">
        <v>28</v>
      </c>
      <c r="G361" s="255">
        <v>0.66</v>
      </c>
      <c r="H361" s="92">
        <f>BDI!$E$35</f>
        <v>0.14012827909185233</v>
      </c>
      <c r="I361" s="218">
        <f t="shared" si="160"/>
        <v>0.09</v>
      </c>
      <c r="J361" s="313">
        <f t="shared" si="159"/>
        <v>433.2</v>
      </c>
    </row>
    <row r="362" spans="1:10">
      <c r="A362" s="90" t="str">
        <f>OBSOLETO!D796</f>
        <v>9.15.4</v>
      </c>
      <c r="B362" s="252" t="str">
        <f>OBSOLETO!E796</f>
        <v>Areia média</v>
      </c>
      <c r="C362" s="253">
        <f>OBSOLETO!G796</f>
        <v>1.2977886141517274</v>
      </c>
      <c r="D362" s="90" t="str">
        <f>OBSOLETO!H796</f>
        <v>M³</v>
      </c>
      <c r="E362" s="254" t="s">
        <v>28</v>
      </c>
      <c r="F362" s="235" t="s">
        <v>841</v>
      </c>
      <c r="G362" s="255">
        <v>103.33</v>
      </c>
      <c r="H362" s="92">
        <v>0</v>
      </c>
      <c r="I362" s="218">
        <f t="shared" si="160"/>
        <v>0</v>
      </c>
      <c r="J362" s="313">
        <f t="shared" si="159"/>
        <v>134.1</v>
      </c>
    </row>
    <row r="363" spans="1:10">
      <c r="A363" s="90" t="str">
        <f>OBSOLETO!D797</f>
        <v>9.15.5</v>
      </c>
      <c r="B363" s="252" t="str">
        <f>OBSOLETO!E797</f>
        <v>Pedra britada N.2 (19 a 38 mm)</v>
      </c>
      <c r="C363" s="253">
        <f>OBSOLETO!G797</f>
        <v>1.2165640138223426</v>
      </c>
      <c r="D363" s="90" t="str">
        <f>OBSOLETO!H797</f>
        <v>M³</v>
      </c>
      <c r="E363" s="254" t="s">
        <v>28</v>
      </c>
      <c r="F363" s="235" t="s">
        <v>845</v>
      </c>
      <c r="G363" s="255">
        <v>73.010000000000005</v>
      </c>
      <c r="H363" s="92">
        <v>0</v>
      </c>
      <c r="I363" s="218">
        <f t="shared" si="160"/>
        <v>0</v>
      </c>
      <c r="J363" s="313">
        <f t="shared" si="159"/>
        <v>88.82</v>
      </c>
    </row>
    <row r="364" spans="1:10">
      <c r="A364" s="90" t="str">
        <f>OBSOLETO!D798</f>
        <v>9.15.6</v>
      </c>
      <c r="B364" s="252" t="str">
        <f>OBSOLETO!E798</f>
        <v>Arame recozido 16 BWG, D= 1,65 mm (0,016 kg/m) ou 18 BWG, D= 1,25 mm (0,01 kg/m)</v>
      </c>
      <c r="C364" s="253">
        <f>OBSOLETO!G798</f>
        <v>1</v>
      </c>
      <c r="D364" s="90" t="str">
        <f>OBSOLETO!H798</f>
        <v>KG</v>
      </c>
      <c r="E364" s="254" t="s">
        <v>28</v>
      </c>
      <c r="F364" s="235" t="s">
        <v>847</v>
      </c>
      <c r="G364" s="255">
        <v>23.7</v>
      </c>
      <c r="H364" s="92">
        <v>0</v>
      </c>
      <c r="I364" s="218">
        <f t="shared" si="160"/>
        <v>0</v>
      </c>
      <c r="J364" s="313">
        <f t="shared" si="159"/>
        <v>23.7</v>
      </c>
    </row>
    <row r="365" spans="1:10">
      <c r="A365" s="90" t="str">
        <f>OBSOLETO!D799</f>
        <v>9.15.7</v>
      </c>
      <c r="B365" s="252" t="str">
        <f>OBSOLETO!E799</f>
        <v>Aço CA-50, 10,0 mm, vergalhão</v>
      </c>
      <c r="C365" s="253">
        <f>OBSOLETO!G799</f>
        <v>155.34288000000001</v>
      </c>
      <c r="D365" s="90" t="str">
        <f>OBSOLETO!H799</f>
        <v>KG</v>
      </c>
      <c r="E365" s="254">
        <v>34</v>
      </c>
      <c r="F365" s="235" t="s">
        <v>28</v>
      </c>
      <c r="G365" s="255">
        <v>8.98</v>
      </c>
      <c r="H365" s="92">
        <f>BDI!$E$35</f>
        <v>0.14012827909185233</v>
      </c>
      <c r="I365" s="218">
        <f t="shared" si="160"/>
        <v>1.26</v>
      </c>
      <c r="J365" s="313">
        <f t="shared" si="159"/>
        <v>1590.71</v>
      </c>
    </row>
    <row r="366" spans="1:10">
      <c r="A366" s="90" t="str">
        <f>OBSOLETO!D800</f>
        <v>9.15.8</v>
      </c>
      <c r="B366" s="252" t="str">
        <f>OBSOLETO!E800</f>
        <v>Aço CA-50, 12,5 mm, vergalhão</v>
      </c>
      <c r="C366" s="253">
        <f>OBSOLETO!G800</f>
        <v>58.08</v>
      </c>
      <c r="D366" s="90" t="str">
        <f>OBSOLETO!H800</f>
        <v>KG</v>
      </c>
      <c r="E366" s="254">
        <v>43055</v>
      </c>
      <c r="F366" s="235" t="s">
        <v>28</v>
      </c>
      <c r="G366" s="255">
        <v>7.78</v>
      </c>
      <c r="H366" s="92">
        <f>BDI!$E$35</f>
        <v>0.14012827909185233</v>
      </c>
      <c r="I366" s="218">
        <f t="shared" si="160"/>
        <v>1.0900000000000001</v>
      </c>
      <c r="J366" s="313">
        <f t="shared" si="159"/>
        <v>515.16999999999996</v>
      </c>
    </row>
    <row r="367" spans="1:10">
      <c r="A367" s="607" t="str">
        <f>OBSOLETO!C834</f>
        <v>9.16</v>
      </c>
      <c r="B367" s="608" t="str">
        <f>OBSOLETO!D834</f>
        <v>Caixa abrigo para o Macromedidor - Mão de Obra p/ Construção</v>
      </c>
      <c r="C367" s="258"/>
      <c r="D367" s="258"/>
      <c r="E367" s="258"/>
      <c r="F367" s="258"/>
      <c r="G367" s="258"/>
      <c r="H367" s="258"/>
      <c r="I367" s="259"/>
      <c r="J367" s="256"/>
    </row>
    <row r="368" spans="1:10">
      <c r="A368" s="413" t="str">
        <f>OBSOLETO!D836</f>
        <v>9.16.1</v>
      </c>
      <c r="B368" s="109" t="str">
        <f>OBSOLETO!E836</f>
        <v>Engenheiro Civil de obras com Encargos Complementares 4 h/dia x 5 dias</v>
      </c>
      <c r="C368" s="253">
        <f>OBSOLETO!R836</f>
        <v>20</v>
      </c>
      <c r="D368" s="90" t="str">
        <f>OBSOLETO!S836</f>
        <v>H</v>
      </c>
      <c r="E368" s="254">
        <v>90778</v>
      </c>
      <c r="F368" s="235" t="s">
        <v>28</v>
      </c>
      <c r="G368" s="255">
        <f>G354</f>
        <v>127.08</v>
      </c>
      <c r="H368" s="92">
        <f>BDI!$E$19</f>
        <v>0.24117279049169804</v>
      </c>
      <c r="I368" s="218">
        <f>ROUND(G368*H368,2)</f>
        <v>30.65</v>
      </c>
      <c r="J368" s="313">
        <f>ROUND(IF(ISNUMBER(I368),C368*(G368+I368),C368*G368),2)</f>
        <v>3154.6</v>
      </c>
    </row>
    <row r="369" spans="1:10">
      <c r="A369" s="413" t="str">
        <f>OBSOLETO!D837</f>
        <v>9.16.2</v>
      </c>
      <c r="B369" s="109" t="str">
        <f>OBSOLETO!E837</f>
        <v>Pedreiro com encargos complementares 8 h/dia x 5 dias x 1 profiss.</v>
      </c>
      <c r="C369" s="253">
        <f>OBSOLETO!R837</f>
        <v>40</v>
      </c>
      <c r="D369" s="90" t="str">
        <f>OBSOLETO!S837</f>
        <v>H</v>
      </c>
      <c r="E369" s="254">
        <v>88309</v>
      </c>
      <c r="F369" s="235" t="s">
        <v>28</v>
      </c>
      <c r="G369" s="255">
        <f>G257</f>
        <v>30.54</v>
      </c>
      <c r="H369" s="92">
        <f>BDI!$E$19</f>
        <v>0.24117279049169804</v>
      </c>
      <c r="I369" s="218">
        <f t="shared" ref="I369:I371" si="161">ROUND(G369*H369,2)</f>
        <v>7.37</v>
      </c>
      <c r="J369" s="313">
        <f t="shared" ref="J369:J371" si="162">ROUND(IF(ISNUMBER(I369),C369*(G369+I369),C369*G369),2)</f>
        <v>1516.4</v>
      </c>
    </row>
    <row r="370" spans="1:10">
      <c r="A370" s="413" t="str">
        <f>OBSOLETO!D838</f>
        <v>9.16.3</v>
      </c>
      <c r="B370" s="109" t="str">
        <f>OBSOLETO!E838</f>
        <v>Aj. de Pedreiro com encargos complementares 8 h/dia x 5 dias x 1 profiss.</v>
      </c>
      <c r="C370" s="253">
        <f>OBSOLETO!R838</f>
        <v>40</v>
      </c>
      <c r="D370" s="90" t="str">
        <f>OBSOLETO!S838</f>
        <v>H</v>
      </c>
      <c r="E370" s="254">
        <v>88242</v>
      </c>
      <c r="F370" s="235" t="s">
        <v>28</v>
      </c>
      <c r="G370" s="255">
        <f>G258</f>
        <v>26.35</v>
      </c>
      <c r="H370" s="92">
        <f>BDI!$E$19</f>
        <v>0.24117279049169804</v>
      </c>
      <c r="I370" s="218">
        <f t="shared" si="161"/>
        <v>6.35</v>
      </c>
      <c r="J370" s="313">
        <f t="shared" si="162"/>
        <v>1308</v>
      </c>
    </row>
    <row r="371" spans="1:10">
      <c r="A371" s="413" t="str">
        <f>OBSOLETO!D839</f>
        <v>9.16.4</v>
      </c>
      <c r="B371" s="109" t="str">
        <f>OBSOLETO!E839</f>
        <v>Armador com Encargos Complementares 8 h/dia x 1 dia x 1 profiss.</v>
      </c>
      <c r="C371" s="253">
        <f>OBSOLETO!R839</f>
        <v>8</v>
      </c>
      <c r="D371" s="90" t="str">
        <f>OBSOLETO!S839</f>
        <v>H</v>
      </c>
      <c r="E371" s="254">
        <v>88245</v>
      </c>
      <c r="F371" s="235" t="s">
        <v>28</v>
      </c>
      <c r="G371" s="255">
        <v>30.32</v>
      </c>
      <c r="H371" s="92">
        <f>BDI!$E$19</f>
        <v>0.24117279049169804</v>
      </c>
      <c r="I371" s="218">
        <f t="shared" si="161"/>
        <v>7.31</v>
      </c>
      <c r="J371" s="313">
        <f t="shared" si="162"/>
        <v>301.04000000000002</v>
      </c>
    </row>
    <row r="372" spans="1:10" ht="25.5">
      <c r="A372" s="90" t="str">
        <f>OBSOLETO!D840</f>
        <v>9.16.5</v>
      </c>
      <c r="B372" s="252" t="str">
        <f>OBSOLETO!E840</f>
        <v>Guindauto hidráulico, capacidade máxima de carga 6200 kg, momento máximo de carga 11,7 tm, alcance máximo horizontal 9,70 m, inclusive caminhão toco pbt 16.000 kg, potência de 189 cv</v>
      </c>
      <c r="C372" s="253">
        <f>OBSOLETO!R841</f>
        <v>4</v>
      </c>
      <c r="D372" s="90" t="str">
        <f>OBSOLETO!S841</f>
        <v>CHP</v>
      </c>
      <c r="E372" s="254">
        <v>5928</v>
      </c>
      <c r="F372" s="235" t="s">
        <v>28</v>
      </c>
      <c r="G372" s="255">
        <v>274.55</v>
      </c>
      <c r="H372" s="92">
        <f>BDI!$E$19</f>
        <v>0.24117279049169804</v>
      </c>
      <c r="I372" s="218">
        <f t="shared" ref="I372" si="163">ROUND(G372*H372,2)</f>
        <v>66.209999999999994</v>
      </c>
      <c r="J372" s="313">
        <f t="shared" ref="J372" si="164">ROUND(IF(ISNUMBER(I372),C372*(G372+I372),C372*G372),2)</f>
        <v>1363.04</v>
      </c>
    </row>
    <row r="373" spans="1:10">
      <c r="A373" s="411"/>
      <c r="B373" s="625" t="str">
        <f>OBSOLETO!D844</f>
        <v>Implantação da Rede ø150 mm interligando o reservatório ao setor nº 06</v>
      </c>
      <c r="C373" s="113"/>
      <c r="D373" s="113"/>
      <c r="E373" s="113"/>
      <c r="F373" s="113"/>
      <c r="G373" s="113"/>
      <c r="H373" s="113"/>
      <c r="I373" s="113"/>
      <c r="J373" s="420"/>
    </row>
    <row r="374" spans="1:10">
      <c r="A374" s="411" t="str">
        <f>OBSOLETO!C859</f>
        <v>9.17</v>
      </c>
      <c r="B374" s="112" t="str">
        <f>OBSOLETO!D859</f>
        <v>Serviços Preliminares</v>
      </c>
      <c r="C374" s="113"/>
      <c r="D374" s="113"/>
      <c r="E374" s="113"/>
      <c r="F374" s="113"/>
      <c r="G374" s="113"/>
      <c r="H374" s="113"/>
      <c r="I374" s="113"/>
      <c r="J374" s="420"/>
    </row>
    <row r="375" spans="1:10">
      <c r="A375" s="413" t="str">
        <f>OBSOLETO!D861</f>
        <v>9.17.1</v>
      </c>
      <c r="B375" s="109" t="str">
        <f>OBSOLETO!E861</f>
        <v>Locação de adutoras, coletores tronco e interceptores (até Ø500mm)</v>
      </c>
      <c r="C375" s="30">
        <f>OBSOLETO!R862</f>
        <v>1150</v>
      </c>
      <c r="D375" s="90" t="str">
        <f>OBSOLETO!S862</f>
        <v>m</v>
      </c>
      <c r="E375" s="26" t="s">
        <v>28</v>
      </c>
      <c r="F375" s="235">
        <v>70010003</v>
      </c>
      <c r="G375" s="255">
        <v>1.64</v>
      </c>
      <c r="H375" s="33">
        <v>0</v>
      </c>
      <c r="I375" s="218">
        <f t="shared" ref="I375:I377" si="165">ROUND(G375*H375,2)</f>
        <v>0</v>
      </c>
      <c r="J375" s="313">
        <f t="shared" ref="J375:J377" si="166">ROUND(IF(ISNUMBER(I375),C375*(G375+I375),C375*G375),2)</f>
        <v>1886</v>
      </c>
    </row>
    <row r="376" spans="1:10">
      <c r="A376" s="413" t="str">
        <f>OBSOLETO!D865</f>
        <v>9.17.2</v>
      </c>
      <c r="B376" s="109" t="str">
        <f>OBSOLETO!E865</f>
        <v>Sinalização de tráfego com cerquite</v>
      </c>
      <c r="C376" s="30">
        <f>OBSOLETO!R872</f>
        <v>135.66666666666666</v>
      </c>
      <c r="D376" s="90" t="str">
        <f>OBSOLETO!S872</f>
        <v>m</v>
      </c>
      <c r="E376" s="26" t="s">
        <v>28</v>
      </c>
      <c r="F376" s="235">
        <v>70020005</v>
      </c>
      <c r="G376" s="255">
        <v>3.46</v>
      </c>
      <c r="H376" s="33">
        <v>0</v>
      </c>
      <c r="I376" s="218">
        <f t="shared" si="165"/>
        <v>0</v>
      </c>
      <c r="J376" s="313">
        <f t="shared" si="166"/>
        <v>469.41</v>
      </c>
    </row>
    <row r="377" spans="1:10">
      <c r="A377" s="413" t="str">
        <f>OBSOLETO!D875</f>
        <v>9.17.3</v>
      </c>
      <c r="B377" s="115" t="str">
        <f>OBSOLETO!E875</f>
        <v>Sinalização luminosa para obras</v>
      </c>
      <c r="C377" s="89">
        <f>OBSOLETO!R882</f>
        <v>135.66666666666666</v>
      </c>
      <c r="D377" s="90" t="str">
        <f>OBSOLETO!S882</f>
        <v>m</v>
      </c>
      <c r="E377" s="91" t="s">
        <v>28</v>
      </c>
      <c r="F377" s="90">
        <v>70020001</v>
      </c>
      <c r="G377" s="255">
        <v>4.97</v>
      </c>
      <c r="H377" s="92">
        <v>0</v>
      </c>
      <c r="I377" s="218">
        <f t="shared" si="165"/>
        <v>0</v>
      </c>
      <c r="J377" s="421">
        <f t="shared" si="166"/>
        <v>674.26</v>
      </c>
    </row>
    <row r="378" spans="1:10">
      <c r="A378" s="411" t="str">
        <f>OBSOLETO!C1039</f>
        <v>9.18</v>
      </c>
      <c r="B378" s="112" t="str">
        <f>OBSOLETO!D1039</f>
        <v>Preparação do solo, abertura de valas, compactação e recomposição do pavimento</v>
      </c>
      <c r="C378" s="113"/>
      <c r="D378" s="113"/>
      <c r="E378" s="113"/>
      <c r="F378" s="113"/>
      <c r="G378" s="113"/>
      <c r="H378" s="113"/>
      <c r="I378" s="113"/>
      <c r="J378" s="420"/>
    </row>
    <row r="379" spans="1:10">
      <c r="A379" s="413" t="str">
        <f>OBSOLETO!D1041</f>
        <v>9.18.1</v>
      </c>
      <c r="B379" s="109" t="str">
        <f>OBSOLETO!E1041</f>
        <v xml:space="preserve">Definição e demarcação da área de reparo com disco de corte </v>
      </c>
      <c r="C379" s="253">
        <f>OBSOLETO!R1041</f>
        <v>418</v>
      </c>
      <c r="D379" s="90" t="str">
        <f>OBSOLETO!S1041</f>
        <v>m</v>
      </c>
      <c r="E379" s="254" t="s">
        <v>28</v>
      </c>
      <c r="F379" s="235">
        <v>70190008</v>
      </c>
      <c r="G379" s="255">
        <f>G287</f>
        <v>7.51</v>
      </c>
      <c r="H379" s="92">
        <v>0</v>
      </c>
      <c r="I379" s="218">
        <f t="shared" ref="I379:I387" si="167">ROUND(G379*H379,2)</f>
        <v>0</v>
      </c>
      <c r="J379" s="313">
        <f t="shared" ref="J379:J391" si="168">ROUND(IF(ISNUMBER(I379),C379*(G379+I379),C379*G379),2)</f>
        <v>3139.18</v>
      </c>
    </row>
    <row r="380" spans="1:10">
      <c r="A380" s="413" t="str">
        <f>OBSOLETO!D1042</f>
        <v>9.18.2</v>
      </c>
      <c r="B380" s="109" t="str">
        <f>OBSOLETO!E1042</f>
        <v>Demolição de Pavimentação Asfáltica com utilização de martelo perfurador, espessura até 15cm, exclusive carga e transporte</v>
      </c>
      <c r="C380" s="253">
        <f>OBSOLETO!R1042</f>
        <v>177.65</v>
      </c>
      <c r="D380" s="90" t="str">
        <f>OBSOLETO!S1042</f>
        <v>m²</v>
      </c>
      <c r="E380" s="254">
        <v>97636</v>
      </c>
      <c r="F380" s="235" t="s">
        <v>28</v>
      </c>
      <c r="G380" s="255">
        <f>G288</f>
        <v>19.64</v>
      </c>
      <c r="H380" s="92">
        <f>BDI!$E$19</f>
        <v>0.24117279049169804</v>
      </c>
      <c r="I380" s="218">
        <f t="shared" si="167"/>
        <v>4.74</v>
      </c>
      <c r="J380" s="313">
        <f t="shared" si="168"/>
        <v>4331.1099999999997</v>
      </c>
    </row>
    <row r="381" spans="1:10">
      <c r="A381" s="413" t="str">
        <f>OBSOLETO!D1043</f>
        <v>9.18.3</v>
      </c>
      <c r="B381" s="109" t="str">
        <f>OBSOLETO!E1043</f>
        <v>Levantamento de Passeio Cimentado</v>
      </c>
      <c r="C381" s="253">
        <f>OBSOLETO!R1043</f>
        <v>107.95</v>
      </c>
      <c r="D381" s="90" t="str">
        <f>OBSOLETO!S1043</f>
        <v>m²</v>
      </c>
      <c r="E381" s="254" t="s">
        <v>28</v>
      </c>
      <c r="F381" s="235">
        <v>70090003</v>
      </c>
      <c r="G381" s="255">
        <v>24.28</v>
      </c>
      <c r="H381" s="92">
        <v>0</v>
      </c>
      <c r="I381" s="218">
        <f t="shared" si="167"/>
        <v>0</v>
      </c>
      <c r="J381" s="313">
        <f t="shared" si="168"/>
        <v>2621.0300000000002</v>
      </c>
    </row>
    <row r="382" spans="1:10" ht="25.5">
      <c r="A382" s="413" t="str">
        <f>OBSOLETO!D1044</f>
        <v>9.18.4</v>
      </c>
      <c r="B382" s="109" t="str">
        <f>OBSOLETO!E1044</f>
        <v>Retroescavadeira sobre rodas com carregadeira, Tração 4X4, Potência LÍQ. 88 HP, Caçamba Carreg. Cap. Mín. 1 m³, Caçamba Retro Cap. 0,26 m³, peso operacional mín. 6.674 KG, profundidade de escavação máx. 4,37 m</v>
      </c>
      <c r="C382" s="253">
        <f>OBSOLETO!R1044</f>
        <v>158</v>
      </c>
      <c r="D382" s="90" t="str">
        <f>OBSOLETO!S1044</f>
        <v>CHP</v>
      </c>
      <c r="E382" s="254">
        <v>5678</v>
      </c>
      <c r="F382" s="235" t="s">
        <v>28</v>
      </c>
      <c r="G382" s="255">
        <f>G340</f>
        <v>153.33000000000001</v>
      </c>
      <c r="H382" s="92">
        <v>0.2639754597701145</v>
      </c>
      <c r="I382" s="218">
        <f t="shared" si="167"/>
        <v>40.479999999999997</v>
      </c>
      <c r="J382" s="313">
        <f t="shared" si="168"/>
        <v>30621.98</v>
      </c>
    </row>
    <row r="383" spans="1:10">
      <c r="A383" s="413" t="str">
        <f>OBSOLETO!D1045</f>
        <v>9.18.5</v>
      </c>
      <c r="B383" s="109" t="str">
        <f>OBSOLETO!E1045</f>
        <v>Compactação mecanizada, com controle do G.C.&gt;95% - em áreas</v>
      </c>
      <c r="C383" s="253">
        <f>OBSOLETO!R1045</f>
        <v>97.75</v>
      </c>
      <c r="D383" s="90" t="str">
        <f>OBSOLETO!S1045</f>
        <v>m³</v>
      </c>
      <c r="E383" s="254" t="s">
        <v>28</v>
      </c>
      <c r="F383" s="235">
        <v>70030037</v>
      </c>
      <c r="G383" s="255">
        <f>G341</f>
        <v>12.97</v>
      </c>
      <c r="H383" s="92">
        <v>0</v>
      </c>
      <c r="I383" s="218">
        <f t="shared" si="167"/>
        <v>0</v>
      </c>
      <c r="J383" s="313">
        <f t="shared" si="168"/>
        <v>1267.82</v>
      </c>
    </row>
    <row r="384" spans="1:10">
      <c r="A384" s="413" t="str">
        <f>OBSOLETO!D1046</f>
        <v>9.18.6</v>
      </c>
      <c r="B384" s="109" t="str">
        <f>OBSOLETO!E1046</f>
        <v xml:space="preserve">Escoramento Descontínuo </v>
      </c>
      <c r="C384" s="253">
        <f>OBSOLETO!R1046</f>
        <v>287.5</v>
      </c>
      <c r="D384" s="90" t="str">
        <f>OBSOLETO!S1046</f>
        <v>m²</v>
      </c>
      <c r="E384" s="254">
        <v>101576</v>
      </c>
      <c r="F384" s="235" t="s">
        <v>28</v>
      </c>
      <c r="G384" s="255">
        <v>47.63</v>
      </c>
      <c r="H384" s="92">
        <v>0</v>
      </c>
      <c r="I384" s="218">
        <f t="shared" si="167"/>
        <v>0</v>
      </c>
      <c r="J384" s="313">
        <f t="shared" si="168"/>
        <v>13693.63</v>
      </c>
    </row>
    <row r="385" spans="1:12" ht="25.5">
      <c r="A385" s="413" t="str">
        <f>OBSOLETO!D1047</f>
        <v>9.18.7</v>
      </c>
      <c r="B385" s="109" t="str">
        <f>OBSOLETO!E1047</f>
        <v>Lastro de vala com preparo de fundo, largura menor que 1,50m, com camada de areia, lançamento manual, em local com nível alto de interferência</v>
      </c>
      <c r="C385" s="253">
        <f>OBSOLETO!R1047</f>
        <v>97.75</v>
      </c>
      <c r="D385" s="90" t="str">
        <f>OBSOLETO!S1047</f>
        <v>m³</v>
      </c>
      <c r="E385" s="254">
        <v>101618</v>
      </c>
      <c r="F385" s="235" t="s">
        <v>28</v>
      </c>
      <c r="G385" s="255">
        <f>G119</f>
        <v>211.93</v>
      </c>
      <c r="H385" s="92">
        <v>0.2639754597701145</v>
      </c>
      <c r="I385" s="218">
        <f t="shared" si="167"/>
        <v>55.94</v>
      </c>
      <c r="J385" s="313">
        <f t="shared" si="168"/>
        <v>26184.29</v>
      </c>
    </row>
    <row r="386" spans="1:12">
      <c r="A386" s="413" t="str">
        <f>OBSOLETO!D1048</f>
        <v>9.18.8</v>
      </c>
      <c r="B386" s="109" t="str">
        <f>OBSOLETO!E1048</f>
        <v>Reaterro mecanizado de vala</v>
      </c>
      <c r="C386" s="253">
        <f>OBSOLETO!R1048</f>
        <v>1445.927822522091</v>
      </c>
      <c r="D386" s="90" t="str">
        <f>OBSOLETO!S1048</f>
        <v>m³</v>
      </c>
      <c r="E386" s="254">
        <v>93368</v>
      </c>
      <c r="F386" s="235" t="s">
        <v>28</v>
      </c>
      <c r="G386" s="255">
        <f>G120</f>
        <v>18.28</v>
      </c>
      <c r="H386" s="92">
        <v>0</v>
      </c>
      <c r="I386" s="218">
        <f t="shared" si="167"/>
        <v>0</v>
      </c>
      <c r="J386" s="313">
        <f t="shared" si="168"/>
        <v>26431.56</v>
      </c>
    </row>
    <row r="387" spans="1:12">
      <c r="A387" s="413" t="str">
        <f>OBSOLETO!D1049</f>
        <v>9.18.9</v>
      </c>
      <c r="B387" s="109" t="str">
        <f>OBSOLETO!E1049</f>
        <v>Remoção de entulho inclusive a carga, transporte e descarga em bota fora a qualquer distância</v>
      </c>
      <c r="C387" s="253">
        <f>OBSOLETO!R1049</f>
        <v>305.92217747790897</v>
      </c>
      <c r="D387" s="90" t="str">
        <f>OBSOLETO!S1049</f>
        <v>m³</v>
      </c>
      <c r="E387" s="254"/>
      <c r="F387" s="235">
        <v>70190145</v>
      </c>
      <c r="G387" s="255">
        <f>G344</f>
        <v>136.94999999999999</v>
      </c>
      <c r="H387" s="92">
        <v>0</v>
      </c>
      <c r="I387" s="218">
        <f t="shared" si="167"/>
        <v>0</v>
      </c>
      <c r="J387" s="313">
        <f t="shared" si="168"/>
        <v>41896.04</v>
      </c>
    </row>
    <row r="388" spans="1:12">
      <c r="A388" s="413" t="str">
        <f>OBSOLETO!D1050</f>
        <v>9.18.10</v>
      </c>
      <c r="B388" s="109" t="str">
        <f>OBSOLETO!E1050</f>
        <v>Sub-base em brita ou macadame hidráulico (B)</v>
      </c>
      <c r="C388" s="253">
        <f>OBSOLETO!R1050</f>
        <v>26.647500000000001</v>
      </c>
      <c r="D388" s="90" t="str">
        <f>OBSOLETO!S1050</f>
        <v>m³</v>
      </c>
      <c r="E388" s="254" t="s">
        <v>28</v>
      </c>
      <c r="F388" s="235">
        <v>70090091</v>
      </c>
      <c r="G388" s="255">
        <f>G294</f>
        <v>170.15</v>
      </c>
      <c r="H388" s="92">
        <v>0</v>
      </c>
      <c r="I388" s="218">
        <v>0</v>
      </c>
      <c r="J388" s="313">
        <f t="shared" si="168"/>
        <v>4534.07</v>
      </c>
    </row>
    <row r="389" spans="1:12">
      <c r="A389" s="413" t="str">
        <f>OBSOLETO!D1051</f>
        <v>9.18.11</v>
      </c>
      <c r="B389" s="109" t="str">
        <f>OBSOLETO!E1051</f>
        <v>Pintura de ligação em emulsão RR-2C</v>
      </c>
      <c r="C389" s="253">
        <f>OBSOLETO!R1051</f>
        <v>177.65</v>
      </c>
      <c r="D389" s="90" t="str">
        <f>OBSOLETO!S1051</f>
        <v>m²</v>
      </c>
      <c r="E389" s="254" t="s">
        <v>28</v>
      </c>
      <c r="F389" s="235">
        <v>70090093</v>
      </c>
      <c r="G389" s="255">
        <f t="shared" ref="G389:G390" si="169">G295</f>
        <v>20.74</v>
      </c>
      <c r="H389" s="92">
        <v>0</v>
      </c>
      <c r="I389" s="218">
        <v>0</v>
      </c>
      <c r="J389" s="313">
        <f t="shared" si="168"/>
        <v>3684.46</v>
      </c>
    </row>
    <row r="390" spans="1:12">
      <c r="A390" s="413" t="str">
        <f>OBSOLETO!D1052</f>
        <v>9.18.12</v>
      </c>
      <c r="B390" s="109" t="str">
        <f>OBSOLETO!E1052</f>
        <v>Capa de concreto asfáltico (B) (e=5cm)</v>
      </c>
      <c r="C390" s="253">
        <f>OBSOLETO!R1052</f>
        <v>8.8825000000000003</v>
      </c>
      <c r="D390" s="90" t="str">
        <f>OBSOLETO!S1052</f>
        <v>m³</v>
      </c>
      <c r="E390" s="254" t="s">
        <v>28</v>
      </c>
      <c r="F390" s="235">
        <v>70090095</v>
      </c>
      <c r="G390" s="255">
        <f t="shared" si="169"/>
        <v>2117.17</v>
      </c>
      <c r="H390" s="92">
        <v>0</v>
      </c>
      <c r="I390" s="218">
        <v>0</v>
      </c>
      <c r="J390" s="313">
        <f t="shared" si="168"/>
        <v>18805.759999999998</v>
      </c>
    </row>
    <row r="391" spans="1:12">
      <c r="A391" s="413" t="str">
        <f>OBSOLETO!D1053</f>
        <v>9.18.13</v>
      </c>
      <c r="B391" s="109" t="str">
        <f>OBSOLETO!E1053</f>
        <v>Execução de passeio cimentado</v>
      </c>
      <c r="C391" s="253">
        <f>OBSOLETO!R1053</f>
        <v>107.95</v>
      </c>
      <c r="D391" s="90" t="str">
        <f>OBSOLETO!S1053</f>
        <v>m²</v>
      </c>
      <c r="E391" s="254"/>
      <c r="F391" s="235">
        <v>70090056</v>
      </c>
      <c r="G391" s="255">
        <v>104.09</v>
      </c>
      <c r="H391" s="92">
        <v>0</v>
      </c>
      <c r="I391" s="218">
        <v>0</v>
      </c>
      <c r="J391" s="313">
        <f t="shared" si="168"/>
        <v>11236.52</v>
      </c>
    </row>
    <row r="392" spans="1:12" ht="25.5">
      <c r="A392" s="411" t="s">
        <v>1277</v>
      </c>
      <c r="B392" s="112" t="s">
        <v>1345</v>
      </c>
      <c r="C392" s="113"/>
      <c r="D392" s="113"/>
      <c r="E392" s="113"/>
      <c r="F392" s="113"/>
      <c r="G392" s="113"/>
      <c r="H392" s="113"/>
      <c r="I392" s="113"/>
      <c r="J392" s="420"/>
      <c r="L392" s="622"/>
    </row>
    <row r="393" spans="1:12">
      <c r="A393" s="413" t="s">
        <v>1278</v>
      </c>
      <c r="B393" s="109" t="s">
        <v>798</v>
      </c>
      <c r="C393" s="30">
        <f>C375</f>
        <v>1150</v>
      </c>
      <c r="D393" s="27" t="s">
        <v>0</v>
      </c>
      <c r="E393" s="954" t="s">
        <v>931</v>
      </c>
      <c r="F393" s="955"/>
      <c r="G393" s="255">
        <v>188.28</v>
      </c>
      <c r="H393" s="33">
        <f>BDI!$E$19</f>
        <v>0.24117279049169804</v>
      </c>
      <c r="I393" s="218">
        <f t="shared" ref="I393:I397" si="170">ROUND(G393*H393,2)</f>
        <v>45.41</v>
      </c>
      <c r="J393" s="313">
        <f t="shared" ref="J393:J400" si="171">ROUND(IF(ISNUMBER(I393),C393*(G393+I393),C393*G393),2)</f>
        <v>268743.5</v>
      </c>
    </row>
    <row r="394" spans="1:12" ht="25.5">
      <c r="A394" s="413" t="s">
        <v>1279</v>
      </c>
      <c r="B394" s="623" t="s">
        <v>1292</v>
      </c>
      <c r="C394" s="30">
        <v>4</v>
      </c>
      <c r="D394" s="27" t="s">
        <v>987</v>
      </c>
      <c r="E394" s="254" t="s">
        <v>28</v>
      </c>
      <c r="F394" s="235" t="s">
        <v>1291</v>
      </c>
      <c r="G394" s="255">
        <v>447.88</v>
      </c>
      <c r="H394" s="33">
        <v>0</v>
      </c>
      <c r="I394" s="218">
        <f t="shared" si="170"/>
        <v>0</v>
      </c>
      <c r="J394" s="313">
        <f t="shared" si="171"/>
        <v>1791.52</v>
      </c>
    </row>
    <row r="395" spans="1:12" ht="25.5">
      <c r="A395" s="413" t="s">
        <v>1280</v>
      </c>
      <c r="B395" s="623" t="s">
        <v>1293</v>
      </c>
      <c r="C395" s="30">
        <v>1</v>
      </c>
      <c r="D395" s="27" t="s">
        <v>987</v>
      </c>
      <c r="E395" s="254" t="s">
        <v>28</v>
      </c>
      <c r="F395" s="235" t="s">
        <v>1294</v>
      </c>
      <c r="G395" s="255">
        <v>942.16</v>
      </c>
      <c r="H395" s="33">
        <v>0</v>
      </c>
      <c r="I395" s="218">
        <f t="shared" si="170"/>
        <v>0</v>
      </c>
      <c r="J395" s="313">
        <f t="shared" si="171"/>
        <v>942.16</v>
      </c>
    </row>
    <row r="396" spans="1:12" ht="25.5">
      <c r="A396" s="413" t="s">
        <v>1303</v>
      </c>
      <c r="B396" s="623" t="s">
        <v>1308</v>
      </c>
      <c r="C396" s="482">
        <v>1</v>
      </c>
      <c r="D396" s="27" t="s">
        <v>987</v>
      </c>
      <c r="E396" s="254" t="s">
        <v>28</v>
      </c>
      <c r="F396" s="235" t="s">
        <v>1309</v>
      </c>
      <c r="G396" s="255">
        <v>886.15</v>
      </c>
      <c r="H396" s="33">
        <v>0</v>
      </c>
      <c r="I396" s="218">
        <f t="shared" si="170"/>
        <v>0</v>
      </c>
      <c r="J396" s="313">
        <f t="shared" si="171"/>
        <v>886.15</v>
      </c>
    </row>
    <row r="397" spans="1:12" ht="25.5">
      <c r="A397" s="413" t="s">
        <v>1304</v>
      </c>
      <c r="B397" s="623" t="s">
        <v>1310</v>
      </c>
      <c r="C397" s="482">
        <v>2</v>
      </c>
      <c r="D397" s="27" t="s">
        <v>987</v>
      </c>
      <c r="E397" s="254" t="s">
        <v>28</v>
      </c>
      <c r="F397" s="235" t="s">
        <v>214</v>
      </c>
      <c r="G397" s="255">
        <v>922.96</v>
      </c>
      <c r="H397" s="33">
        <v>0</v>
      </c>
      <c r="I397" s="218">
        <f t="shared" si="170"/>
        <v>0</v>
      </c>
      <c r="J397" s="313">
        <f t="shared" si="171"/>
        <v>1845.92</v>
      </c>
    </row>
    <row r="398" spans="1:12" ht="25.5">
      <c r="A398" s="413" t="s">
        <v>1305</v>
      </c>
      <c r="B398" s="623" t="s">
        <v>1311</v>
      </c>
      <c r="C398" s="482">
        <v>1</v>
      </c>
      <c r="D398" s="27" t="s">
        <v>987</v>
      </c>
      <c r="E398" s="254" t="s">
        <v>28</v>
      </c>
      <c r="F398" s="235" t="s">
        <v>1313</v>
      </c>
      <c r="G398" s="255">
        <v>825.91</v>
      </c>
      <c r="H398" s="33">
        <v>0</v>
      </c>
      <c r="I398" s="218">
        <f t="shared" ref="I398:I400" si="172">ROUND(G398*H398,2)</f>
        <v>0</v>
      </c>
      <c r="J398" s="313">
        <f t="shared" si="171"/>
        <v>825.91</v>
      </c>
    </row>
    <row r="399" spans="1:12" ht="25.5">
      <c r="A399" s="413" t="s">
        <v>1306</v>
      </c>
      <c r="B399" s="623" t="s">
        <v>1312</v>
      </c>
      <c r="C399" s="482">
        <v>2</v>
      </c>
      <c r="D399" s="27" t="s">
        <v>987</v>
      </c>
      <c r="E399" s="254" t="s">
        <v>28</v>
      </c>
      <c r="F399" s="235" t="s">
        <v>220</v>
      </c>
      <c r="G399" s="255">
        <v>577.07000000000005</v>
      </c>
      <c r="H399" s="33">
        <v>0</v>
      </c>
      <c r="I399" s="218">
        <f t="shared" si="172"/>
        <v>0</v>
      </c>
      <c r="J399" s="313">
        <f t="shared" si="171"/>
        <v>1154.1400000000001</v>
      </c>
    </row>
    <row r="400" spans="1:12">
      <c r="A400" s="413" t="s">
        <v>1307</v>
      </c>
      <c r="B400" s="623" t="s">
        <v>1314</v>
      </c>
      <c r="C400" s="482">
        <v>2</v>
      </c>
      <c r="D400" s="27" t="s">
        <v>987</v>
      </c>
      <c r="E400" s="254" t="s">
        <v>28</v>
      </c>
      <c r="F400" s="235" t="s">
        <v>236</v>
      </c>
      <c r="G400" s="255">
        <v>172.08</v>
      </c>
      <c r="H400" s="33">
        <v>0</v>
      </c>
      <c r="I400" s="218">
        <f t="shared" si="172"/>
        <v>0</v>
      </c>
      <c r="J400" s="313">
        <f t="shared" si="171"/>
        <v>344.16</v>
      </c>
    </row>
    <row r="401" spans="1:10">
      <c r="A401" s="413" t="s">
        <v>1315</v>
      </c>
      <c r="B401" s="623" t="s">
        <v>1317</v>
      </c>
      <c r="C401" s="482">
        <v>2</v>
      </c>
      <c r="D401" s="27" t="s">
        <v>987</v>
      </c>
      <c r="E401" s="254">
        <v>20327</v>
      </c>
      <c r="F401" s="235" t="s">
        <v>28</v>
      </c>
      <c r="G401" s="255">
        <v>20.29</v>
      </c>
      <c r="H401" s="33">
        <f>BDI!$E$35</f>
        <v>0.14012827909185233</v>
      </c>
      <c r="I401" s="218">
        <f t="shared" ref="I401:I402" si="173">ROUND(G401*H401,2)</f>
        <v>2.84</v>
      </c>
      <c r="J401" s="313">
        <f t="shared" ref="J401:J402" si="174">ROUND(IF(ISNUMBER(I401),C401*(G401+I401),C401*G401),2)</f>
        <v>46.26</v>
      </c>
    </row>
    <row r="402" spans="1:10">
      <c r="A402" s="413" t="s">
        <v>1316</v>
      </c>
      <c r="B402" s="623" t="s">
        <v>1318</v>
      </c>
      <c r="C402" s="482">
        <v>2</v>
      </c>
      <c r="D402" s="27" t="s">
        <v>0</v>
      </c>
      <c r="E402" s="235">
        <v>36376</v>
      </c>
      <c r="F402" s="235" t="s">
        <v>28</v>
      </c>
      <c r="G402" s="255">
        <v>42.68</v>
      </c>
      <c r="H402" s="33">
        <f>BDI!$E$35</f>
        <v>0.14012827909185233</v>
      </c>
      <c r="I402" s="218">
        <f t="shared" si="173"/>
        <v>5.98</v>
      </c>
      <c r="J402" s="313">
        <f t="shared" si="174"/>
        <v>97.32</v>
      </c>
    </row>
    <row r="403" spans="1:10">
      <c r="A403" s="413" t="s">
        <v>1320</v>
      </c>
      <c r="B403" s="623" t="s">
        <v>1319</v>
      </c>
      <c r="C403" s="482">
        <v>2</v>
      </c>
      <c r="D403" s="27" t="s">
        <v>987</v>
      </c>
      <c r="E403" s="235">
        <v>3825</v>
      </c>
      <c r="F403" s="235" t="s">
        <v>28</v>
      </c>
      <c r="G403" s="255">
        <v>15.85</v>
      </c>
      <c r="H403" s="33">
        <f>BDI!$E$35</f>
        <v>0.14012827909185233</v>
      </c>
      <c r="I403" s="218">
        <f t="shared" ref="I403" si="175">ROUND(G403*H403,2)</f>
        <v>2.2200000000000002</v>
      </c>
      <c r="J403" s="313">
        <f t="shared" ref="J403" si="176">ROUND(IF(ISNUMBER(I403),C403*(G403+I403),C403*G403),2)</f>
        <v>36.14</v>
      </c>
    </row>
    <row r="404" spans="1:10">
      <c r="A404" s="413" t="s">
        <v>1321</v>
      </c>
      <c r="B404" s="623" t="s">
        <v>1325</v>
      </c>
      <c r="C404" s="482">
        <v>3</v>
      </c>
      <c r="D404" s="27" t="s">
        <v>909</v>
      </c>
      <c r="E404" s="254" t="s">
        <v>28</v>
      </c>
      <c r="F404" s="235" t="s">
        <v>1045</v>
      </c>
      <c r="G404" s="255">
        <v>617.84</v>
      </c>
      <c r="H404" s="33">
        <v>0</v>
      </c>
      <c r="I404" s="218">
        <f t="shared" ref="I404" si="177">ROUND(G404*H404,2)</f>
        <v>0</v>
      </c>
      <c r="J404" s="313">
        <f t="shared" ref="J404" si="178">ROUND(IF(ISNUMBER(I404),C404*(G404+I404),C404*G404),2)</f>
        <v>1853.52</v>
      </c>
    </row>
    <row r="405" spans="1:10">
      <c r="A405" s="413" t="s">
        <v>1322</v>
      </c>
      <c r="B405" s="623" t="s">
        <v>1324</v>
      </c>
      <c r="C405" s="482">
        <v>4</v>
      </c>
      <c r="D405" s="27" t="s">
        <v>909</v>
      </c>
      <c r="E405" s="254" t="s">
        <v>28</v>
      </c>
      <c r="F405" s="235" t="s">
        <v>371</v>
      </c>
      <c r="G405" s="255">
        <v>377.92</v>
      </c>
      <c r="H405" s="33">
        <v>0</v>
      </c>
      <c r="I405" s="218">
        <f t="shared" ref="I405:I407" si="179">ROUND(G405*H405,2)</f>
        <v>0</v>
      </c>
      <c r="J405" s="313">
        <f t="shared" ref="J405:J407" si="180">ROUND(IF(ISNUMBER(I405),C405*(G405+I405),C405*G405),2)</f>
        <v>1511.68</v>
      </c>
    </row>
    <row r="406" spans="1:10">
      <c r="A406" s="413" t="s">
        <v>1323</v>
      </c>
      <c r="B406" s="623" t="s">
        <v>1326</v>
      </c>
      <c r="C406" s="482">
        <v>2</v>
      </c>
      <c r="D406" s="27" t="s">
        <v>909</v>
      </c>
      <c r="E406" s="254" t="s">
        <v>28</v>
      </c>
      <c r="F406" s="235" t="s">
        <v>739</v>
      </c>
      <c r="G406" s="255">
        <v>188.96</v>
      </c>
      <c r="H406" s="33">
        <v>0</v>
      </c>
      <c r="I406" s="218">
        <f t="shared" si="179"/>
        <v>0</v>
      </c>
      <c r="J406" s="313">
        <f t="shared" si="180"/>
        <v>377.92</v>
      </c>
    </row>
    <row r="407" spans="1:10">
      <c r="A407" s="413" t="s">
        <v>1329</v>
      </c>
      <c r="B407" s="623" t="s">
        <v>1327</v>
      </c>
      <c r="C407" s="482">
        <v>3</v>
      </c>
      <c r="D407" s="27" t="s">
        <v>987</v>
      </c>
      <c r="E407" s="254" t="s">
        <v>28</v>
      </c>
      <c r="F407" s="235" t="s">
        <v>1328</v>
      </c>
      <c r="G407" s="255">
        <v>31.4</v>
      </c>
      <c r="H407" s="33">
        <v>0</v>
      </c>
      <c r="I407" s="218">
        <f t="shared" si="179"/>
        <v>0</v>
      </c>
      <c r="J407" s="313">
        <f t="shared" si="180"/>
        <v>94.2</v>
      </c>
    </row>
    <row r="408" spans="1:10">
      <c r="A408" s="413" t="s">
        <v>1331</v>
      </c>
      <c r="B408" s="623" t="s">
        <v>1330</v>
      </c>
      <c r="C408" s="482">
        <v>4</v>
      </c>
      <c r="D408" s="27" t="s">
        <v>987</v>
      </c>
      <c r="E408" s="254" t="s">
        <v>28</v>
      </c>
      <c r="F408" s="235" t="s">
        <v>374</v>
      </c>
      <c r="G408" s="255">
        <v>28.64</v>
      </c>
      <c r="H408" s="33">
        <v>0</v>
      </c>
      <c r="I408" s="218">
        <f t="shared" ref="I408:I409" si="181">ROUND(G408*H408,2)</f>
        <v>0</v>
      </c>
      <c r="J408" s="313">
        <f t="shared" ref="J408:J409" si="182">ROUND(IF(ISNUMBER(I408),C408*(G408+I408),C408*G408),2)</f>
        <v>114.56</v>
      </c>
    </row>
    <row r="409" spans="1:10">
      <c r="A409" s="413" t="s">
        <v>1332</v>
      </c>
      <c r="B409" s="623" t="s">
        <v>1333</v>
      </c>
      <c r="C409" s="482">
        <v>2</v>
      </c>
      <c r="D409" s="27" t="s">
        <v>987</v>
      </c>
      <c r="E409" s="254" t="s">
        <v>28</v>
      </c>
      <c r="F409" s="235" t="s">
        <v>740</v>
      </c>
      <c r="G409" s="255">
        <v>20.57</v>
      </c>
      <c r="H409" s="33">
        <v>0</v>
      </c>
      <c r="I409" s="218">
        <f t="shared" si="181"/>
        <v>0</v>
      </c>
      <c r="J409" s="313">
        <f t="shared" si="182"/>
        <v>41.14</v>
      </c>
    </row>
    <row r="410" spans="1:10">
      <c r="A410" s="411" t="str">
        <f>OBSOLETO!C1058</f>
        <v>9.20</v>
      </c>
      <c r="B410" s="112" t="str">
        <f>OBSOLETO!D1058</f>
        <v>Mão de Obra de Profissionais p/ interligações e Suporte Técnico</v>
      </c>
      <c r="C410" s="113"/>
      <c r="D410" s="113"/>
      <c r="E410" s="113"/>
      <c r="F410" s="113"/>
      <c r="G410" s="113"/>
      <c r="H410" s="113"/>
      <c r="I410" s="113"/>
      <c r="J410" s="420"/>
    </row>
    <row r="411" spans="1:10">
      <c r="A411" s="90" t="str">
        <f>OBSOLETO!D1060</f>
        <v>9.20.1</v>
      </c>
      <c r="B411" s="109" t="str">
        <f>OBSOLETO!E1060</f>
        <v>Engenheiro Civil de obras com Encargos Complementares</v>
      </c>
      <c r="C411" s="253">
        <f>OBSOLETO!R1060</f>
        <v>73.394285714285715</v>
      </c>
      <c r="D411" s="90" t="str">
        <f>OBSOLETO!S1060</f>
        <v>H</v>
      </c>
      <c r="E411" s="254">
        <v>90778</v>
      </c>
      <c r="F411" s="254" t="s">
        <v>28</v>
      </c>
      <c r="G411" s="255">
        <f>G368</f>
        <v>127.08</v>
      </c>
      <c r="H411" s="33">
        <f>BDI!$E$19</f>
        <v>0.24117279049169804</v>
      </c>
      <c r="I411" s="218">
        <f t="shared" ref="I411:I413" si="183">ROUND(G411*H411,2)</f>
        <v>30.65</v>
      </c>
      <c r="J411" s="313">
        <f t="shared" ref="J411:J413" si="184">ROUND(IF(ISNUMBER(I411),C411*(G411+I411),C411*G411),2)</f>
        <v>11576.48</v>
      </c>
    </row>
    <row r="412" spans="1:10">
      <c r="A412" s="90" t="str">
        <f>OBSOLETO!D1061</f>
        <v>9.20.2</v>
      </c>
      <c r="B412" s="109" t="str">
        <f>OBSOLETO!E1061</f>
        <v>Encarregado Geral com Encargos Complementares</v>
      </c>
      <c r="C412" s="253">
        <f>OBSOLETO!R1061</f>
        <v>146.78857142857143</v>
      </c>
      <c r="D412" s="90" t="str">
        <f>OBSOLETO!S1061</f>
        <v>H</v>
      </c>
      <c r="E412" s="254">
        <v>90776</v>
      </c>
      <c r="F412" s="254" t="s">
        <v>28</v>
      </c>
      <c r="G412" s="255">
        <f>G355</f>
        <v>38.46</v>
      </c>
      <c r="H412" s="33">
        <f>BDI!$E$19</f>
        <v>0.24117279049169804</v>
      </c>
      <c r="I412" s="218">
        <f t="shared" si="183"/>
        <v>9.2799999999999994</v>
      </c>
      <c r="J412" s="313">
        <f t="shared" si="184"/>
        <v>7007.69</v>
      </c>
    </row>
    <row r="413" spans="1:10" s="481" customFormat="1">
      <c r="A413" s="90" t="str">
        <f>OBSOLETO!D1062</f>
        <v>9.20.3</v>
      </c>
      <c r="B413" s="109" t="str">
        <f>OBSOLETO!E1062</f>
        <v>Encanador com Encargos Complementares - (M.O. para a interligação reservatório/adutora e adutora/rede existente ø50mm)</v>
      </c>
      <c r="C413" s="253">
        <f>OBSOLETO!R1062</f>
        <v>32</v>
      </c>
      <c r="D413" s="90" t="str">
        <f>OBSOLETO!S1062</f>
        <v>H</v>
      </c>
      <c r="E413" s="254" t="s">
        <v>1117</v>
      </c>
      <c r="F413" s="254" t="s">
        <v>28</v>
      </c>
      <c r="G413" s="255">
        <f>G356</f>
        <v>32.049999999999997</v>
      </c>
      <c r="H413" s="33">
        <f>BDI!$E$19</f>
        <v>0.24117279049169804</v>
      </c>
      <c r="I413" s="218">
        <f t="shared" si="183"/>
        <v>7.73</v>
      </c>
      <c r="J413" s="313">
        <f t="shared" si="184"/>
        <v>1272.96</v>
      </c>
    </row>
    <row r="414" spans="1:10" s="481" customFormat="1" ht="25.5">
      <c r="A414" s="90" t="str">
        <f>OBSOLETO!D1063</f>
        <v>9.20.4</v>
      </c>
      <c r="B414" s="109" t="str">
        <f>OBSOLETO!E1063</f>
        <v>Auxiliar de encanador com Encargos Complementares - (M.O. para a interligação reservatótio/adutora e adutora/rede existente ø50mm)</v>
      </c>
      <c r="C414" s="253">
        <f>OBSOLETO!R1063</f>
        <v>32</v>
      </c>
      <c r="D414" s="90" t="str">
        <f>OBSOLETO!S1063</f>
        <v>H</v>
      </c>
      <c r="E414" s="254" t="s">
        <v>1115</v>
      </c>
      <c r="F414" s="254" t="s">
        <v>28</v>
      </c>
      <c r="G414" s="255">
        <f>G357</f>
        <v>27.57</v>
      </c>
      <c r="H414" s="33">
        <f>BDI!$E$19</f>
        <v>0.24117279049169804</v>
      </c>
      <c r="I414" s="218">
        <f t="shared" ref="I414" si="185">ROUND(G414*H414,2)</f>
        <v>6.65</v>
      </c>
      <c r="J414" s="313">
        <f t="shared" ref="J414" si="186">ROUND(IF(ISNUMBER(I414),C414*(G414+I414),C414*G414),2)</f>
        <v>1095.04</v>
      </c>
    </row>
    <row r="415" spans="1:10">
      <c r="A415" s="411" t="s">
        <v>1296</v>
      </c>
      <c r="B415" s="112" t="s">
        <v>162</v>
      </c>
      <c r="C415" s="113"/>
      <c r="D415" s="113"/>
      <c r="E415" s="113"/>
      <c r="F415" s="113"/>
      <c r="G415" s="113"/>
      <c r="H415" s="113"/>
      <c r="I415" s="214"/>
      <c r="J415" s="418"/>
    </row>
    <row r="416" spans="1:10">
      <c r="A416" s="27" t="s">
        <v>1297</v>
      </c>
      <c r="B416" s="108" t="s">
        <v>49</v>
      </c>
      <c r="C416" s="89">
        <f>OBSOLETO!R1070</f>
        <v>285.59999999999997</v>
      </c>
      <c r="D416" s="90" t="s">
        <v>17</v>
      </c>
      <c r="E416" s="91" t="s">
        <v>28</v>
      </c>
      <c r="F416" s="90">
        <v>70190144</v>
      </c>
      <c r="G416" s="255">
        <v>12.01</v>
      </c>
      <c r="H416" s="92">
        <v>0</v>
      </c>
      <c r="I416" s="216">
        <f t="shared" ref="I416" si="187">ROUND(G416*H416,2)</f>
        <v>0</v>
      </c>
      <c r="J416" s="421">
        <f t="shared" ref="J416" si="188">ROUND(IF(ISNUMBER(I416),C416*(G416+I416),C416*G416),2)</f>
        <v>3430.06</v>
      </c>
    </row>
    <row r="417" spans="1:12">
      <c r="A417" s="27"/>
      <c r="B417" s="2"/>
      <c r="C417" s="30"/>
      <c r="D417" s="27"/>
      <c r="E417" s="26"/>
      <c r="F417" s="26"/>
      <c r="G417" s="28"/>
      <c r="H417" s="48"/>
      <c r="I417" s="234" t="s">
        <v>1300</v>
      </c>
      <c r="J417" s="414" t="e">
        <f>SUM(J337:J416)</f>
        <v>#REF!</v>
      </c>
    </row>
    <row r="418" spans="1:12">
      <c r="A418" s="27"/>
      <c r="B418" s="2" t="s">
        <v>304</v>
      </c>
      <c r="C418" s="30"/>
      <c r="D418" s="27"/>
      <c r="E418" s="26"/>
      <c r="F418" s="26"/>
      <c r="G418" s="28"/>
      <c r="H418" s="48"/>
      <c r="I418" s="219"/>
      <c r="J418" s="414" t="e">
        <f>J334+J417</f>
        <v>#REF!</v>
      </c>
    </row>
    <row r="419" spans="1:12">
      <c r="A419" s="933"/>
      <c r="B419" s="934"/>
      <c r="C419" s="934"/>
      <c r="D419" s="934"/>
      <c r="E419" s="934"/>
      <c r="F419" s="934"/>
      <c r="G419" s="934"/>
      <c r="H419" s="934"/>
      <c r="I419" s="934"/>
      <c r="J419" s="935"/>
    </row>
    <row r="420" spans="1:12">
      <c r="A420" s="411">
        <f>OBSOLETO!C1073</f>
        <v>10</v>
      </c>
      <c r="B420" s="112" t="str">
        <f>OBSOLETO!D1073</f>
        <v>Implantação do Setor 07 - Industrial I</v>
      </c>
      <c r="C420" s="113"/>
      <c r="D420" s="113"/>
      <c r="E420" s="113"/>
      <c r="F420" s="113"/>
      <c r="G420" s="113"/>
      <c r="H420" s="113"/>
      <c r="I420" s="113"/>
      <c r="J420" s="420"/>
      <c r="L420" s="622"/>
    </row>
    <row r="421" spans="1:12">
      <c r="A421" s="411" t="str">
        <f>OBSOLETO!C1082</f>
        <v>10.1</v>
      </c>
      <c r="B421" s="112" t="str">
        <f>OBSOLETO!D1082</f>
        <v xml:space="preserve">Manutenção Captação - Laje de Proteção do Poço </v>
      </c>
      <c r="C421" s="113"/>
      <c r="D421" s="113"/>
      <c r="E421" s="113"/>
      <c r="F421" s="113"/>
      <c r="G421" s="113"/>
      <c r="H421" s="113"/>
      <c r="I421" s="113"/>
      <c r="J421" s="420"/>
    </row>
    <row r="422" spans="1:12">
      <c r="A422" s="27" t="str">
        <f>OBSOLETO!D1084</f>
        <v>10.1.1</v>
      </c>
      <c r="B422" s="47" t="str">
        <f>OBSOLETO!E1084</f>
        <v>Limpeza manual de vegetação inclusive arbustos</v>
      </c>
      <c r="C422" s="30">
        <f>OBSOLETO!R1084</f>
        <v>36</v>
      </c>
      <c r="D422" s="27" t="s">
        <v>17</v>
      </c>
      <c r="E422" s="27">
        <v>98524</v>
      </c>
      <c r="F422" s="26" t="s">
        <v>28</v>
      </c>
      <c r="G422" s="255">
        <v>3.75</v>
      </c>
      <c r="H422" s="42">
        <f>BDI!$E$19</f>
        <v>0.24117279049169804</v>
      </c>
      <c r="I422" s="217">
        <f t="shared" ref="I422" si="189">ROUND(G422*H422,2)</f>
        <v>0.9</v>
      </c>
      <c r="J422" s="313">
        <f t="shared" ref="J422" si="190">ROUND(IF(ISNUMBER(I422),C422*(G422+I422),C422*G422),2)</f>
        <v>167.4</v>
      </c>
    </row>
    <row r="423" spans="1:12">
      <c r="A423" s="411" t="s">
        <v>308</v>
      </c>
      <c r="B423" s="112" t="str">
        <f>OBSOLETO!D1087</f>
        <v>Macromedidor do Poço Novo P07 - Instalação</v>
      </c>
      <c r="C423" s="113"/>
      <c r="D423" s="113"/>
      <c r="E423" s="113"/>
      <c r="F423" s="113"/>
      <c r="G423" s="113"/>
      <c r="H423" s="113"/>
      <c r="I423" s="214"/>
      <c r="J423" s="418"/>
    </row>
    <row r="424" spans="1:12">
      <c r="A424" s="27" t="str">
        <f>OBSOLETO!D1088</f>
        <v>10.2.1</v>
      </c>
      <c r="B424" s="47" t="s">
        <v>756</v>
      </c>
      <c r="C424" s="30">
        <v>1</v>
      </c>
      <c r="D424" s="27" t="s">
        <v>987</v>
      </c>
      <c r="E424" s="936" t="s">
        <v>183</v>
      </c>
      <c r="F424" s="937"/>
      <c r="G424" s="255" t="e">
        <f>#REF!</f>
        <v>#REF!</v>
      </c>
      <c r="H424" s="42">
        <f>BDI!$E$35</f>
        <v>0.14012827909185233</v>
      </c>
      <c r="I424" s="217" t="e">
        <f t="shared" ref="I424:I428" si="191">ROUND(G424*H424,2)</f>
        <v>#REF!</v>
      </c>
      <c r="J424" s="313" t="e">
        <f t="shared" ref="J424:J428" si="192">ROUND(IF(ISNUMBER(I424),C424*(G424+I424),C424*G424),2)</f>
        <v>#REF!</v>
      </c>
    </row>
    <row r="425" spans="1:12">
      <c r="A425" s="27" t="str">
        <f>OBSOLETO!D1089</f>
        <v>10.2.2</v>
      </c>
      <c r="B425" s="47" t="s">
        <v>736</v>
      </c>
      <c r="C425" s="30">
        <v>2</v>
      </c>
      <c r="D425" s="27" t="s">
        <v>987</v>
      </c>
      <c r="E425" s="936" t="s">
        <v>183</v>
      </c>
      <c r="F425" s="937"/>
      <c r="G425" s="255" t="e">
        <f>#REF!</f>
        <v>#REF!</v>
      </c>
      <c r="H425" s="42">
        <f>BDI!$E$35</f>
        <v>0.14012827909185233</v>
      </c>
      <c r="I425" s="217" t="e">
        <f t="shared" si="191"/>
        <v>#REF!</v>
      </c>
      <c r="J425" s="313" t="e">
        <f t="shared" si="192"/>
        <v>#REF!</v>
      </c>
    </row>
    <row r="426" spans="1:12">
      <c r="A426" s="27" t="str">
        <f>OBSOLETO!D1090</f>
        <v>10.2.3</v>
      </c>
      <c r="B426" s="47" t="s">
        <v>737</v>
      </c>
      <c r="C426" s="30">
        <v>2</v>
      </c>
      <c r="D426" s="27" t="s">
        <v>987</v>
      </c>
      <c r="E426" s="936" t="s">
        <v>183</v>
      </c>
      <c r="F426" s="937"/>
      <c r="G426" s="255" t="e">
        <f>#REF!</f>
        <v>#REF!</v>
      </c>
      <c r="H426" s="42">
        <f>BDI!$E$35</f>
        <v>0.14012827909185233</v>
      </c>
      <c r="I426" s="217" t="e">
        <f t="shared" si="191"/>
        <v>#REF!</v>
      </c>
      <c r="J426" s="313" t="e">
        <f t="shared" si="192"/>
        <v>#REF!</v>
      </c>
    </row>
    <row r="427" spans="1:12">
      <c r="A427" s="27" t="str">
        <f>OBSOLETO!D1091</f>
        <v>10.2.4</v>
      </c>
      <c r="B427" s="47" t="s">
        <v>738</v>
      </c>
      <c r="C427" s="30">
        <v>2</v>
      </c>
      <c r="D427" s="27" t="s">
        <v>987</v>
      </c>
      <c r="E427" s="26" t="s">
        <v>28</v>
      </c>
      <c r="F427" s="26" t="s">
        <v>739</v>
      </c>
      <c r="G427" s="255">
        <f>G37</f>
        <v>188.96</v>
      </c>
      <c r="H427" s="42">
        <v>0</v>
      </c>
      <c r="I427" s="217">
        <f t="shared" si="191"/>
        <v>0</v>
      </c>
      <c r="J427" s="313">
        <f t="shared" si="192"/>
        <v>377.92</v>
      </c>
    </row>
    <row r="428" spans="1:12">
      <c r="A428" s="27" t="str">
        <f>OBSOLETO!D1092</f>
        <v>10.2.5</v>
      </c>
      <c r="B428" s="47" t="s">
        <v>373</v>
      </c>
      <c r="C428" s="30">
        <v>2</v>
      </c>
      <c r="D428" s="27" t="s">
        <v>987</v>
      </c>
      <c r="E428" s="26" t="s">
        <v>28</v>
      </c>
      <c r="F428" s="26" t="s">
        <v>740</v>
      </c>
      <c r="G428" s="255">
        <f>G38</f>
        <v>20.57</v>
      </c>
      <c r="H428" s="42">
        <v>0</v>
      </c>
      <c r="I428" s="217">
        <f t="shared" si="191"/>
        <v>0</v>
      </c>
      <c r="J428" s="313">
        <f t="shared" si="192"/>
        <v>41.14</v>
      </c>
    </row>
    <row r="429" spans="1:12">
      <c r="A429" s="411" t="str">
        <f>OBSOLETO!C1087</f>
        <v>10.3</v>
      </c>
      <c r="B429" s="112" t="str">
        <f>OBSOLETO!D1087</f>
        <v>Macromedidor do Poço Novo P07 - Instalação</v>
      </c>
      <c r="C429" s="113"/>
      <c r="D429" s="113"/>
      <c r="E429" s="113"/>
      <c r="F429" s="113"/>
      <c r="G429" s="113"/>
      <c r="H429" s="113"/>
      <c r="I429" s="113"/>
      <c r="J429" s="420"/>
    </row>
    <row r="430" spans="1:12">
      <c r="A430" s="413" t="str">
        <f>OBSOLETO!D1088</f>
        <v>10.2.1</v>
      </c>
      <c r="B430" s="109" t="str">
        <f>OBSOLETO!E1088</f>
        <v>Engenheiro Civil de obras com Encargos Complementares 4 h/dia x 2 dias</v>
      </c>
      <c r="C430" s="30">
        <f>OBSOLETO!R1088</f>
        <v>8</v>
      </c>
      <c r="D430" s="27" t="str">
        <f>OBSOLETO!S1088</f>
        <v>H</v>
      </c>
      <c r="E430" s="26" t="s">
        <v>1111</v>
      </c>
      <c r="F430" s="26" t="s">
        <v>28</v>
      </c>
      <c r="G430" s="255">
        <f>G411</f>
        <v>127.08</v>
      </c>
      <c r="H430" s="33">
        <f>BDI!$E$19</f>
        <v>0.24117279049169804</v>
      </c>
      <c r="I430" s="218">
        <f t="shared" ref="I430:I434" si="193">ROUND(G430*H430,2)</f>
        <v>30.65</v>
      </c>
      <c r="J430" s="313">
        <f t="shared" ref="J430:J434" si="194">ROUND(IF(ISNUMBER(I430),C430*(G430+I430),C430*G430),2)</f>
        <v>1261.8399999999999</v>
      </c>
    </row>
    <row r="431" spans="1:12">
      <c r="A431" s="413" t="str">
        <f>OBSOLETO!D1089</f>
        <v>10.2.2</v>
      </c>
      <c r="B431" s="109" t="str">
        <f>OBSOLETO!E1089</f>
        <v>Encarregado Geral com Encargos Complementares 8 h/dia x 2 dias</v>
      </c>
      <c r="C431" s="30">
        <f>OBSOLETO!R1089</f>
        <v>16</v>
      </c>
      <c r="D431" s="27" t="str">
        <f>OBSOLETO!S1089</f>
        <v>H</v>
      </c>
      <c r="E431" s="26" t="s">
        <v>1113</v>
      </c>
      <c r="F431" s="26" t="s">
        <v>28</v>
      </c>
      <c r="G431" s="255">
        <f>G412</f>
        <v>38.46</v>
      </c>
      <c r="H431" s="33">
        <f>BDI!$E$19</f>
        <v>0.24117279049169804</v>
      </c>
      <c r="I431" s="218">
        <f t="shared" si="193"/>
        <v>9.2799999999999994</v>
      </c>
      <c r="J431" s="313">
        <f t="shared" si="194"/>
        <v>763.84</v>
      </c>
    </row>
    <row r="432" spans="1:12">
      <c r="A432" s="413" t="str">
        <f>OBSOLETO!D1090</f>
        <v>10.2.3</v>
      </c>
      <c r="B432" s="109" t="str">
        <f>OBSOLETO!E1090</f>
        <v>Encanador com Encargos Complementares 8 h/dia x 2 dias x 1 profiss.</v>
      </c>
      <c r="C432" s="30">
        <f>OBSOLETO!R1090</f>
        <v>16</v>
      </c>
      <c r="D432" s="27" t="str">
        <f>OBSOLETO!S1090</f>
        <v>H</v>
      </c>
      <c r="E432" s="26" t="s">
        <v>1117</v>
      </c>
      <c r="F432" s="26" t="s">
        <v>28</v>
      </c>
      <c r="G432" s="255">
        <f>G356</f>
        <v>32.049999999999997</v>
      </c>
      <c r="H432" s="33">
        <f>BDI!$E$19</f>
        <v>0.24117279049169804</v>
      </c>
      <c r="I432" s="218">
        <f t="shared" si="193"/>
        <v>7.73</v>
      </c>
      <c r="J432" s="313">
        <f t="shared" si="194"/>
        <v>636.48</v>
      </c>
    </row>
    <row r="433" spans="1:10">
      <c r="A433" s="413" t="str">
        <f>OBSOLETO!D1091</f>
        <v>10.2.4</v>
      </c>
      <c r="B433" s="109" t="str">
        <f>OBSOLETO!E1091</f>
        <v>Auxiliar de encanador com Encargos Complementares 8 h/dia x 2 dias x 1 profiss.</v>
      </c>
      <c r="C433" s="30">
        <f>OBSOLETO!R1091</f>
        <v>16</v>
      </c>
      <c r="D433" s="27" t="str">
        <f>OBSOLETO!S1091</f>
        <v>H</v>
      </c>
      <c r="E433" s="26" t="s">
        <v>1115</v>
      </c>
      <c r="F433" s="26" t="s">
        <v>28</v>
      </c>
      <c r="G433" s="255">
        <f>G357</f>
        <v>27.57</v>
      </c>
      <c r="H433" s="33">
        <f>BDI!$E$19</f>
        <v>0.24117279049169804</v>
      </c>
      <c r="I433" s="218">
        <f t="shared" si="193"/>
        <v>6.65</v>
      </c>
      <c r="J433" s="313">
        <f t="shared" si="194"/>
        <v>547.52</v>
      </c>
    </row>
    <row r="434" spans="1:10">
      <c r="A434" s="413" t="str">
        <f>OBSOLETO!D1092</f>
        <v>10.2.5</v>
      </c>
      <c r="B434" s="109" t="str">
        <f>OBSOLETO!E1092</f>
        <v>Motorista de Veículo Leve com Encargos Complementares 8 h/ dia x 2 dias x 1 profiss.</v>
      </c>
      <c r="C434" s="30">
        <f>OBSOLETO!R1092</f>
        <v>16</v>
      </c>
      <c r="D434" s="27" t="str">
        <f>OBSOLETO!S1092</f>
        <v>H</v>
      </c>
      <c r="E434" s="26" t="s">
        <v>1118</v>
      </c>
      <c r="F434" s="26" t="s">
        <v>28</v>
      </c>
      <c r="G434" s="255">
        <f>G329</f>
        <v>26.82</v>
      </c>
      <c r="H434" s="33">
        <f>BDI!$E$19</f>
        <v>0.24117279049169804</v>
      </c>
      <c r="I434" s="218">
        <f t="shared" si="193"/>
        <v>6.47</v>
      </c>
      <c r="J434" s="313">
        <f t="shared" si="194"/>
        <v>532.64</v>
      </c>
    </row>
    <row r="435" spans="1:10">
      <c r="A435" s="411" t="str">
        <f>OBSOLETO!C1094</f>
        <v>10.4</v>
      </c>
      <c r="B435" s="112" t="str">
        <f>OBSOLETO!D1094</f>
        <v>Aferição e Calibração de Macromedidor com equipamento do tipo ultrassônico</v>
      </c>
      <c r="C435" s="113"/>
      <c r="D435" s="113"/>
      <c r="E435" s="113"/>
      <c r="F435" s="113"/>
      <c r="G435" s="113"/>
      <c r="H435" s="113"/>
      <c r="I435" s="214"/>
      <c r="J435" s="418"/>
    </row>
    <row r="436" spans="1:10">
      <c r="A436" s="413" t="str">
        <f>OBSOLETO!D1095</f>
        <v>10.4.1</v>
      </c>
      <c r="B436" s="109" t="str">
        <f>OBSOLETO!E1095</f>
        <v>Engenheiro Civil de obras com Encargos Complementares 4 h/dia x 1 dia</v>
      </c>
      <c r="C436" s="30">
        <f>OBSOLETO!R1095</f>
        <v>4</v>
      </c>
      <c r="D436" s="27" t="str">
        <f>OBSOLETO!S1095</f>
        <v>H</v>
      </c>
      <c r="E436" s="26" t="s">
        <v>1111</v>
      </c>
      <c r="F436" s="26" t="s">
        <v>28</v>
      </c>
      <c r="G436" s="255">
        <f>G430</f>
        <v>127.08</v>
      </c>
      <c r="H436" s="33">
        <f>BDI!$E$19</f>
        <v>0.24117279049169804</v>
      </c>
      <c r="I436" s="218">
        <f t="shared" ref="I436:I438" si="195">ROUND(G436*H436,2)</f>
        <v>30.65</v>
      </c>
      <c r="J436" s="313">
        <f t="shared" ref="J436:J438" si="196">ROUND(IF(ISNUMBER(I436),C436*(G436+I436),C436*G436),2)</f>
        <v>630.91999999999996</v>
      </c>
    </row>
    <row r="437" spans="1:10">
      <c r="A437" s="413" t="str">
        <f>OBSOLETO!D1096</f>
        <v>10.4.2</v>
      </c>
      <c r="B437" s="109" t="str">
        <f>OBSOLETO!E1096</f>
        <v>Encanador com Encargos Complementares 8 h/dia x 1 dias x 1 profiss.</v>
      </c>
      <c r="C437" s="30">
        <f>OBSOLETO!R1096</f>
        <v>8</v>
      </c>
      <c r="D437" s="27" t="str">
        <f>OBSOLETO!S1096</f>
        <v>H</v>
      </c>
      <c r="E437" s="26" t="s">
        <v>1117</v>
      </c>
      <c r="F437" s="26" t="s">
        <v>28</v>
      </c>
      <c r="G437" s="255">
        <f>G332</f>
        <v>32.049999999999997</v>
      </c>
      <c r="H437" s="33">
        <f>BDI!$E$19</f>
        <v>0.24117279049169804</v>
      </c>
      <c r="I437" s="218">
        <f t="shared" si="195"/>
        <v>7.73</v>
      </c>
      <c r="J437" s="313">
        <f t="shared" si="196"/>
        <v>318.24</v>
      </c>
    </row>
    <row r="438" spans="1:10">
      <c r="A438" s="413" t="str">
        <f>OBSOLETO!D1097</f>
        <v>10.4.3</v>
      </c>
      <c r="B438" s="109" t="str">
        <f>OBSOLETO!E1097</f>
        <v>Auxiliar de encanador com Encargos Complementares 8 h/dia x 1 dias x 1 profiss.</v>
      </c>
      <c r="C438" s="30">
        <f>OBSOLETO!R1097</f>
        <v>8</v>
      </c>
      <c r="D438" s="27" t="str">
        <f>OBSOLETO!S1097</f>
        <v>H</v>
      </c>
      <c r="E438" s="26" t="s">
        <v>1115</v>
      </c>
      <c r="F438" s="26" t="s">
        <v>28</v>
      </c>
      <c r="G438" s="255">
        <f>G333</f>
        <v>27.57</v>
      </c>
      <c r="H438" s="33">
        <f>BDI!$E$19</f>
        <v>0.24117279049169804</v>
      </c>
      <c r="I438" s="218">
        <f t="shared" si="195"/>
        <v>6.65</v>
      </c>
      <c r="J438" s="313">
        <f t="shared" si="196"/>
        <v>273.76</v>
      </c>
    </row>
    <row r="439" spans="1:10">
      <c r="A439" s="411"/>
      <c r="B439" s="112" t="str">
        <f>OBSOLETO!D1100</f>
        <v>Macromedidor ø50 mm (a ser implantado na saída do Reservatório  p/ a Entrada do Setor 07)</v>
      </c>
      <c r="C439" s="113"/>
      <c r="D439" s="113"/>
      <c r="E439" s="113"/>
      <c r="F439" s="113"/>
      <c r="G439" s="113"/>
      <c r="H439" s="113"/>
      <c r="I439" s="214"/>
      <c r="J439" s="418"/>
    </row>
    <row r="440" spans="1:10">
      <c r="A440" s="411" t="str">
        <f>OBSOLETO!C1102</f>
        <v>10.5</v>
      </c>
      <c r="B440" s="112" t="str">
        <f>OBSOLETO!D1102</f>
        <v>Preparo de solo, abertura de valas, compactação e fechamento de valas</v>
      </c>
      <c r="C440" s="113"/>
      <c r="D440" s="113"/>
      <c r="E440" s="113"/>
      <c r="F440" s="113"/>
      <c r="G440" s="113"/>
      <c r="H440" s="113"/>
      <c r="I440" s="214"/>
      <c r="J440" s="418"/>
    </row>
    <row r="441" spans="1:10" ht="25.5">
      <c r="A441" s="413" t="str">
        <f>OBSOLETO!D1121</f>
        <v>10.5.1</v>
      </c>
      <c r="B441" s="109" t="str">
        <f>OBSOLETO!E1121</f>
        <v>Retroescavadeira sobre rodas com carregadeira, Tração 4X4, Potência LÍQ. 88 HP, Caçamba Carreg. Cap. Mín. 1 m³, Caçamba Retro Cap. 0,26 m³, peso operacional mín. 6.674 KG, profundidade de escavação máx. 4,37 m</v>
      </c>
      <c r="C441" s="253">
        <f>OBSOLETO!R1123</f>
        <v>20</v>
      </c>
      <c r="D441" s="90" t="str">
        <f>OBSOLETO!S1123</f>
        <v>CHP</v>
      </c>
      <c r="E441" s="254">
        <v>5678</v>
      </c>
      <c r="F441" s="235" t="s">
        <v>28</v>
      </c>
      <c r="G441" s="255">
        <f>G382</f>
        <v>153.33000000000001</v>
      </c>
      <c r="H441" s="33">
        <f>BDI!$E$19</f>
        <v>0.24117279049169804</v>
      </c>
      <c r="I441" s="218">
        <f t="shared" ref="I441:I445" si="197">ROUND(G441*H441,2)</f>
        <v>36.979999999999997</v>
      </c>
      <c r="J441" s="313">
        <f t="shared" ref="J441:J445" si="198">ROUND(IF(ISNUMBER(I441),C441*(G441+I441),C441*G441),2)</f>
        <v>3806.2</v>
      </c>
    </row>
    <row r="442" spans="1:10">
      <c r="A442" s="413" t="str">
        <f>OBSOLETO!D1126</f>
        <v>10.5.2</v>
      </c>
      <c r="B442" s="109" t="str">
        <f>OBSOLETO!E1126</f>
        <v>Compactação mecanizada, com controle do G.C.&gt;95% - em áreas</v>
      </c>
      <c r="C442" s="253">
        <f>OBSOLETO!R1128</f>
        <v>1.6</v>
      </c>
      <c r="D442" s="90" t="str">
        <f>OBSOLETO!S1128</f>
        <v>m³</v>
      </c>
      <c r="E442" s="254" t="s">
        <v>28</v>
      </c>
      <c r="F442" s="235">
        <v>70030037</v>
      </c>
      <c r="G442" s="255">
        <f>G383</f>
        <v>12.97</v>
      </c>
      <c r="H442" s="33">
        <v>0</v>
      </c>
      <c r="I442" s="218">
        <f t="shared" si="197"/>
        <v>0</v>
      </c>
      <c r="J442" s="313">
        <f t="shared" si="198"/>
        <v>20.75</v>
      </c>
    </row>
    <row r="443" spans="1:10">
      <c r="A443" s="413" t="str">
        <f>OBSOLETO!D1131</f>
        <v>10.5.3</v>
      </c>
      <c r="B443" s="109" t="str">
        <f>OBSOLETO!E1131</f>
        <v xml:space="preserve">Escoramento Contínuo </v>
      </c>
      <c r="C443" s="253">
        <f>OBSOLETO!R1137</f>
        <v>24</v>
      </c>
      <c r="D443" s="90" t="str">
        <f>OBSOLETO!S1137</f>
        <v>m²</v>
      </c>
      <c r="E443" s="254">
        <v>101583</v>
      </c>
      <c r="F443" s="235" t="s">
        <v>28</v>
      </c>
      <c r="G443" s="255">
        <f>G342</f>
        <v>97.45</v>
      </c>
      <c r="H443" s="33">
        <f>BDI!$E$19</f>
        <v>0.24117279049169804</v>
      </c>
      <c r="I443" s="218">
        <f t="shared" si="197"/>
        <v>23.5</v>
      </c>
      <c r="J443" s="421">
        <f t="shared" si="198"/>
        <v>2902.8</v>
      </c>
    </row>
    <row r="444" spans="1:10">
      <c r="A444" s="413" t="str">
        <f>OBSOLETO!D1140</f>
        <v>10.5.4</v>
      </c>
      <c r="B444" s="109" t="str">
        <f>OBSOLETO!E1140</f>
        <v>Reaerro mecanizado de vala</v>
      </c>
      <c r="C444" s="253">
        <f>OBSOLETO!R1142</f>
        <v>18</v>
      </c>
      <c r="D444" s="90" t="str">
        <f>OBSOLETO!S1142</f>
        <v>m³</v>
      </c>
      <c r="E444" s="254">
        <v>93360</v>
      </c>
      <c r="F444" s="235" t="s">
        <v>28</v>
      </c>
      <c r="G444" s="255">
        <f>G293</f>
        <v>24.08</v>
      </c>
      <c r="H444" s="33">
        <v>0</v>
      </c>
      <c r="I444" s="218">
        <f t="shared" si="197"/>
        <v>0</v>
      </c>
      <c r="J444" s="313">
        <f t="shared" si="198"/>
        <v>433.44</v>
      </c>
    </row>
    <row r="445" spans="1:10">
      <c r="A445" s="413" t="str">
        <f>OBSOLETO!D1145</f>
        <v>10.5.5</v>
      </c>
      <c r="B445" s="109" t="str">
        <f>OBSOLETO!E1145</f>
        <v>Remoção de entulho inclusive a carga, transporte e descarga em bota fora a qualquer distância</v>
      </c>
      <c r="C445" s="253">
        <f>OBSOLETO!R1147</f>
        <v>6</v>
      </c>
      <c r="D445" s="90" t="str">
        <f>OBSOLETO!S1147</f>
        <v>m³</v>
      </c>
      <c r="E445" s="254" t="s">
        <v>28</v>
      </c>
      <c r="F445" s="235">
        <v>70190145</v>
      </c>
      <c r="G445" s="255">
        <f>G344</f>
        <v>136.94999999999999</v>
      </c>
      <c r="H445" s="33">
        <v>0</v>
      </c>
      <c r="I445" s="218">
        <f t="shared" si="197"/>
        <v>0</v>
      </c>
      <c r="J445" s="313">
        <f t="shared" si="198"/>
        <v>821.7</v>
      </c>
    </row>
    <row r="446" spans="1:10">
      <c r="A446" s="411" t="s">
        <v>1058</v>
      </c>
      <c r="B446" s="112" t="s">
        <v>1141</v>
      </c>
      <c r="C446" s="113"/>
      <c r="D446" s="113"/>
      <c r="E446" s="113"/>
      <c r="F446" s="113"/>
      <c r="G446" s="113"/>
      <c r="H446" s="113"/>
      <c r="I446" s="214"/>
      <c r="J446" s="418"/>
    </row>
    <row r="447" spans="1:10">
      <c r="A447" s="413" t="s">
        <v>1059</v>
      </c>
      <c r="B447" s="310" t="s">
        <v>1046</v>
      </c>
      <c r="C447" s="311">
        <v>1</v>
      </c>
      <c r="D447" s="128" t="s">
        <v>987</v>
      </c>
      <c r="E447" s="931" t="s">
        <v>183</v>
      </c>
      <c r="F447" s="932"/>
      <c r="G447" s="255" t="e">
        <f>#REF!</f>
        <v>#REF!</v>
      </c>
      <c r="H447" s="33">
        <f>BDI!$E$35</f>
        <v>0.14012827909185233</v>
      </c>
      <c r="I447" s="218" t="e">
        <f t="shared" ref="I447:I453" si="199">ROUND(G447*H447,2)</f>
        <v>#REF!</v>
      </c>
      <c r="J447" s="313" t="e">
        <f t="shared" ref="J447:J453" si="200">ROUND(IF(ISNUMBER(I447),C447*(G447+I447),C447*G447),2)</f>
        <v>#REF!</v>
      </c>
    </row>
    <row r="448" spans="1:10">
      <c r="A448" s="413" t="s">
        <v>1060</v>
      </c>
      <c r="B448" s="310" t="s">
        <v>1041</v>
      </c>
      <c r="C448" s="311">
        <v>2</v>
      </c>
      <c r="D448" s="128" t="s">
        <v>987</v>
      </c>
      <c r="E448" s="254"/>
      <c r="F448" s="235" t="s">
        <v>1042</v>
      </c>
      <c r="G448" s="255">
        <v>1474.73</v>
      </c>
      <c r="H448" s="33">
        <v>0</v>
      </c>
      <c r="I448" s="218">
        <f t="shared" si="199"/>
        <v>0</v>
      </c>
      <c r="J448" s="313">
        <f t="shared" si="200"/>
        <v>2949.46</v>
      </c>
    </row>
    <row r="449" spans="1:10">
      <c r="A449" s="413" t="s">
        <v>1061</v>
      </c>
      <c r="B449" s="47" t="s">
        <v>1048</v>
      </c>
      <c r="C449" s="311">
        <v>2</v>
      </c>
      <c r="D449" s="128" t="s">
        <v>987</v>
      </c>
      <c r="E449" s="254"/>
      <c r="F449" s="26" t="s">
        <v>237</v>
      </c>
      <c r="G449" s="255">
        <v>789.95</v>
      </c>
      <c r="H449" s="33">
        <v>0</v>
      </c>
      <c r="I449" s="218">
        <f t="shared" si="199"/>
        <v>0</v>
      </c>
      <c r="J449" s="313">
        <f t="shared" si="200"/>
        <v>1579.9</v>
      </c>
    </row>
    <row r="450" spans="1:10">
      <c r="A450" s="413" t="s">
        <v>1062</v>
      </c>
      <c r="B450" s="310" t="s">
        <v>1049</v>
      </c>
      <c r="C450" s="311">
        <v>2</v>
      </c>
      <c r="D450" s="128" t="s">
        <v>987</v>
      </c>
      <c r="E450" s="931" t="s">
        <v>183</v>
      </c>
      <c r="F450" s="932"/>
      <c r="G450" s="255" t="e">
        <f>#REF!</f>
        <v>#REF!</v>
      </c>
      <c r="H450" s="33">
        <f>BDI!$E$35</f>
        <v>0.14012827909185233</v>
      </c>
      <c r="I450" s="218" t="e">
        <f t="shared" si="199"/>
        <v>#REF!</v>
      </c>
      <c r="J450" s="313" t="e">
        <f t="shared" si="200"/>
        <v>#REF!</v>
      </c>
    </row>
    <row r="451" spans="1:10">
      <c r="A451" s="413" t="s">
        <v>1063</v>
      </c>
      <c r="B451" s="312" t="s">
        <v>1050</v>
      </c>
      <c r="C451" s="311">
        <v>2</v>
      </c>
      <c r="D451" s="128" t="s">
        <v>909</v>
      </c>
      <c r="E451" s="254"/>
      <c r="F451" s="235" t="s">
        <v>1045</v>
      </c>
      <c r="G451" s="255">
        <v>617.84</v>
      </c>
      <c r="H451" s="33">
        <v>0</v>
      </c>
      <c r="I451" s="218">
        <f t="shared" si="199"/>
        <v>0</v>
      </c>
      <c r="J451" s="313">
        <f t="shared" si="200"/>
        <v>1235.68</v>
      </c>
    </row>
    <row r="452" spans="1:10">
      <c r="A452" s="413" t="s">
        <v>1064</v>
      </c>
      <c r="B452" s="312" t="s">
        <v>1051</v>
      </c>
      <c r="C452" s="311">
        <v>2</v>
      </c>
      <c r="D452" s="128" t="s">
        <v>909</v>
      </c>
      <c r="E452" s="254"/>
      <c r="F452" s="235" t="s">
        <v>739</v>
      </c>
      <c r="G452" s="255">
        <v>188.96</v>
      </c>
      <c r="H452" s="33">
        <v>0</v>
      </c>
      <c r="I452" s="218">
        <f t="shared" si="199"/>
        <v>0</v>
      </c>
      <c r="J452" s="313">
        <f t="shared" si="200"/>
        <v>377.92</v>
      </c>
    </row>
    <row r="453" spans="1:10">
      <c r="A453" s="413" t="s">
        <v>1065</v>
      </c>
      <c r="B453" s="312" t="s">
        <v>911</v>
      </c>
      <c r="C453" s="311">
        <v>1</v>
      </c>
      <c r="D453" s="128" t="s">
        <v>987</v>
      </c>
      <c r="E453" s="254"/>
      <c r="F453" s="235" t="s">
        <v>912</v>
      </c>
      <c r="G453" s="255">
        <v>553.5</v>
      </c>
      <c r="H453" s="92">
        <v>0</v>
      </c>
      <c r="I453" s="218">
        <f t="shared" si="199"/>
        <v>0</v>
      </c>
      <c r="J453" s="421">
        <f t="shared" si="200"/>
        <v>553.5</v>
      </c>
    </row>
    <row r="454" spans="1:10">
      <c r="A454" s="411" t="str">
        <f>OBSOLETO!C1150</f>
        <v>10.7</v>
      </c>
      <c r="B454" s="112" t="str">
        <f>OBSOLETO!D1150</f>
        <v>Macromedidor  - Instalação</v>
      </c>
      <c r="C454" s="113"/>
      <c r="D454" s="113"/>
      <c r="E454" s="113"/>
      <c r="F454" s="113"/>
      <c r="G454" s="113"/>
      <c r="H454" s="113"/>
      <c r="I454" s="214"/>
      <c r="J454" s="418"/>
    </row>
    <row r="455" spans="1:10">
      <c r="A455" s="413" t="str">
        <f>OBSOLETO!D1161</f>
        <v>10.7.1</v>
      </c>
      <c r="B455" s="109" t="str">
        <f>OBSOLETO!E1161</f>
        <v>Engenheiro Civil de obras com Encargos Complementares 4 h/dia x 2 dias</v>
      </c>
      <c r="C455" s="30">
        <f>OBSOLETO!S1161</f>
        <v>8</v>
      </c>
      <c r="D455" s="27" t="str">
        <f>OBSOLETO!T1161</f>
        <v>H</v>
      </c>
      <c r="E455" s="26" t="s">
        <v>1111</v>
      </c>
      <c r="F455" s="26" t="s">
        <v>28</v>
      </c>
      <c r="G455" s="255">
        <f>G411</f>
        <v>127.08</v>
      </c>
      <c r="H455" s="33">
        <f>BDI!$E$19</f>
        <v>0.24117279049169804</v>
      </c>
      <c r="I455" s="218">
        <f t="shared" ref="I455:I458" si="201">ROUND(G455*H455,2)</f>
        <v>30.65</v>
      </c>
      <c r="J455" s="313">
        <f t="shared" ref="J455:J458" si="202">ROUND(IF(ISNUMBER(I455),C455*(G455+I455),C455*G455),2)</f>
        <v>1261.8399999999999</v>
      </c>
    </row>
    <row r="456" spans="1:10">
      <c r="A456" s="413" t="str">
        <f>OBSOLETO!D1162</f>
        <v>10.7.2</v>
      </c>
      <c r="B456" s="109" t="str">
        <f>OBSOLETO!E1162</f>
        <v>Encarregado Geral com Encargos Complementares 8 h/dia x 2 dias</v>
      </c>
      <c r="C456" s="30">
        <f>OBSOLETO!S1162</f>
        <v>16</v>
      </c>
      <c r="D456" s="27" t="str">
        <f>OBSOLETO!T1162</f>
        <v>H</v>
      </c>
      <c r="E456" s="26" t="s">
        <v>1113</v>
      </c>
      <c r="F456" s="26" t="s">
        <v>28</v>
      </c>
      <c r="G456" s="255">
        <f t="shared" ref="G456:G458" si="203">G412</f>
        <v>38.46</v>
      </c>
      <c r="H456" s="33">
        <f>BDI!$E$19</f>
        <v>0.24117279049169804</v>
      </c>
      <c r="I456" s="218">
        <f t="shared" si="201"/>
        <v>9.2799999999999994</v>
      </c>
      <c r="J456" s="313">
        <f t="shared" si="202"/>
        <v>763.84</v>
      </c>
    </row>
    <row r="457" spans="1:10">
      <c r="A457" s="413" t="str">
        <f>OBSOLETO!D1163</f>
        <v>10.7.3</v>
      </c>
      <c r="B457" s="109" t="str">
        <f>OBSOLETO!E1163</f>
        <v>Encanador com Encargos Complementares 8 h/dia x 2 dias x 1 profiss.</v>
      </c>
      <c r="C457" s="30">
        <f>OBSOLETO!S1163</f>
        <v>16</v>
      </c>
      <c r="D457" s="27" t="str">
        <f>OBSOLETO!T1163</f>
        <v>H</v>
      </c>
      <c r="E457" s="26" t="s">
        <v>1117</v>
      </c>
      <c r="F457" s="26" t="s">
        <v>28</v>
      </c>
      <c r="G457" s="255">
        <f t="shared" si="203"/>
        <v>32.049999999999997</v>
      </c>
      <c r="H457" s="33">
        <f>BDI!$E$19</f>
        <v>0.24117279049169804</v>
      </c>
      <c r="I457" s="218">
        <f t="shared" si="201"/>
        <v>7.73</v>
      </c>
      <c r="J457" s="313">
        <f t="shared" si="202"/>
        <v>636.48</v>
      </c>
    </row>
    <row r="458" spans="1:10">
      <c r="A458" s="413" t="str">
        <f>OBSOLETO!D1164</f>
        <v>10.7.4</v>
      </c>
      <c r="B458" s="109" t="str">
        <f>OBSOLETO!E1164</f>
        <v>Auxiliar de encanador com Encargos Complementares 8 h/dia x 2 dias x 1 profiss.</v>
      </c>
      <c r="C458" s="30">
        <f>OBSOLETO!S1164</f>
        <v>16</v>
      </c>
      <c r="D458" s="27" t="str">
        <f>OBSOLETO!T1164</f>
        <v>H</v>
      </c>
      <c r="E458" s="26" t="s">
        <v>1115</v>
      </c>
      <c r="F458" s="26" t="s">
        <v>28</v>
      </c>
      <c r="G458" s="255">
        <f t="shared" si="203"/>
        <v>27.57</v>
      </c>
      <c r="H458" s="33">
        <f>BDI!$E$19</f>
        <v>0.24117279049169804</v>
      </c>
      <c r="I458" s="218">
        <f t="shared" si="201"/>
        <v>6.65</v>
      </c>
      <c r="J458" s="313">
        <f t="shared" si="202"/>
        <v>547.52</v>
      </c>
    </row>
    <row r="459" spans="1:10">
      <c r="A459" s="411" t="str">
        <f>OBSOLETO!C1167</f>
        <v>10.8</v>
      </c>
      <c r="B459" s="112" t="str">
        <f>OBSOLETO!D1167</f>
        <v>Construção do abrigo para o Macromedidor - 2,00X2,00 m - 1 unid. - Materiais</v>
      </c>
      <c r="C459" s="113"/>
      <c r="D459" s="113"/>
      <c r="E459" s="113"/>
      <c r="F459" s="113"/>
      <c r="G459" s="113"/>
      <c r="H459" s="113"/>
      <c r="I459" s="214"/>
      <c r="J459" s="418"/>
    </row>
    <row r="460" spans="1:10">
      <c r="A460" s="90" t="str">
        <f>OBSOLETO!D1169</f>
        <v>10.8.1</v>
      </c>
      <c r="B460" s="252" t="str">
        <f>OBSOLETO!E1169</f>
        <v>Canaleta de concreto estrutural 14 x 19 x 39 cm, Fbk 14 Mpa (NBR 6136)</v>
      </c>
      <c r="C460" s="253">
        <f>OBSOLETO!G1169</f>
        <v>75</v>
      </c>
      <c r="D460" s="90" t="str">
        <f>OBSOLETO!H1169</f>
        <v>Und</v>
      </c>
      <c r="E460" s="254">
        <v>38600</v>
      </c>
      <c r="F460" s="235" t="s">
        <v>28</v>
      </c>
      <c r="G460" s="255">
        <f>G359</f>
        <v>5.71</v>
      </c>
      <c r="H460" s="92">
        <f>BDI!$E$35</f>
        <v>0.14012827909185233</v>
      </c>
      <c r="I460" s="218">
        <f t="shared" ref="I460:I467" si="204">ROUND(G460*H460,2)</f>
        <v>0.8</v>
      </c>
      <c r="J460" s="313">
        <f t="shared" ref="J460:J467" si="205">ROUND(IF(ISNUMBER(I460),C460*(G460+I460),C460*G460),2)</f>
        <v>488.25</v>
      </c>
    </row>
    <row r="461" spans="1:10">
      <c r="A461" s="90" t="s">
        <v>1073</v>
      </c>
      <c r="B461" s="252" t="str">
        <f>OBSOLETO!E1170</f>
        <v>Bloco de concreto estrutural 14 x 19 x 39 cm, Fbk 14 Mpa (NBR 6136)</v>
      </c>
      <c r="C461" s="253">
        <f>OBSOLETO!G1170</f>
        <v>182</v>
      </c>
      <c r="D461" s="90" t="str">
        <f>OBSOLETO!H1170</f>
        <v>Und</v>
      </c>
      <c r="E461" s="254">
        <v>34570</v>
      </c>
      <c r="F461" s="235" t="s">
        <v>28</v>
      </c>
      <c r="G461" s="255">
        <f t="shared" ref="G461:G467" si="206">G360</f>
        <v>5.31</v>
      </c>
      <c r="H461" s="92">
        <f>BDI!$E$35</f>
        <v>0.14012827909185233</v>
      </c>
      <c r="I461" s="218">
        <f t="shared" si="204"/>
        <v>0.74</v>
      </c>
      <c r="J461" s="313">
        <f t="shared" si="205"/>
        <v>1101.0999999999999</v>
      </c>
    </row>
    <row r="462" spans="1:10">
      <c r="A462" s="90" t="s">
        <v>1074</v>
      </c>
      <c r="B462" s="252" t="str">
        <f>OBSOLETO!E1171</f>
        <v>Cimento Portland composto CP II-32</v>
      </c>
      <c r="C462" s="253">
        <f>OBSOLETO!G1171</f>
        <v>577.59715789784809</v>
      </c>
      <c r="D462" s="90" t="str">
        <f>OBSOLETO!H1171</f>
        <v>KG</v>
      </c>
      <c r="E462" s="254">
        <v>1379</v>
      </c>
      <c r="F462" s="235" t="s">
        <v>28</v>
      </c>
      <c r="G462" s="255">
        <f t="shared" si="206"/>
        <v>0.66</v>
      </c>
      <c r="H462" s="92">
        <f>BDI!$E$35</f>
        <v>0.14012827909185233</v>
      </c>
      <c r="I462" s="218">
        <f t="shared" si="204"/>
        <v>0.09</v>
      </c>
      <c r="J462" s="313">
        <f t="shared" si="205"/>
        <v>433.2</v>
      </c>
    </row>
    <row r="463" spans="1:10">
      <c r="A463" s="90" t="s">
        <v>1075</v>
      </c>
      <c r="B463" s="252" t="str">
        <f>OBSOLETO!E1172</f>
        <v>Areia média</v>
      </c>
      <c r="C463" s="253">
        <f>OBSOLETO!G1172</f>
        <v>1.2977886141517274</v>
      </c>
      <c r="D463" s="90" t="str">
        <f>OBSOLETO!H1172</f>
        <v>M³</v>
      </c>
      <c r="E463" s="254" t="s">
        <v>28</v>
      </c>
      <c r="F463" s="235" t="s">
        <v>841</v>
      </c>
      <c r="G463" s="255">
        <f t="shared" si="206"/>
        <v>103.33</v>
      </c>
      <c r="H463" s="92">
        <v>0</v>
      </c>
      <c r="I463" s="218">
        <f t="shared" si="204"/>
        <v>0</v>
      </c>
      <c r="J463" s="313">
        <f t="shared" si="205"/>
        <v>134.1</v>
      </c>
    </row>
    <row r="464" spans="1:10">
      <c r="A464" s="90" t="s">
        <v>1076</v>
      </c>
      <c r="B464" s="252" t="str">
        <f>OBSOLETO!E1173</f>
        <v>Pedra britada N.2 (19 a 38 mm)</v>
      </c>
      <c r="C464" s="253">
        <f>OBSOLETO!G1173</f>
        <v>1.2165640138223426</v>
      </c>
      <c r="D464" s="90" t="str">
        <f>OBSOLETO!H1173</f>
        <v>M³</v>
      </c>
      <c r="E464" s="254" t="s">
        <v>28</v>
      </c>
      <c r="F464" s="235" t="s">
        <v>845</v>
      </c>
      <c r="G464" s="255">
        <f t="shared" si="206"/>
        <v>73.010000000000005</v>
      </c>
      <c r="H464" s="92">
        <v>0</v>
      </c>
      <c r="I464" s="218">
        <f t="shared" si="204"/>
        <v>0</v>
      </c>
      <c r="J464" s="313">
        <f t="shared" si="205"/>
        <v>88.82</v>
      </c>
    </row>
    <row r="465" spans="1:10">
      <c r="A465" s="90" t="s">
        <v>1077</v>
      </c>
      <c r="B465" s="252" t="str">
        <f>OBSOLETO!E1174</f>
        <v>Arame recozido 16 BWG, D= 1,65 mm (0,016 kg/m) ou 18 BWG, D= 1,25 mm (0,01 kg/m)</v>
      </c>
      <c r="C465" s="253">
        <f>OBSOLETO!G1174</f>
        <v>1</v>
      </c>
      <c r="D465" s="90" t="str">
        <f>OBSOLETO!H1174</f>
        <v>KG</v>
      </c>
      <c r="E465" s="254" t="s">
        <v>28</v>
      </c>
      <c r="F465" s="235" t="s">
        <v>847</v>
      </c>
      <c r="G465" s="255">
        <f t="shared" si="206"/>
        <v>23.7</v>
      </c>
      <c r="H465" s="92">
        <v>0</v>
      </c>
      <c r="I465" s="218">
        <f t="shared" si="204"/>
        <v>0</v>
      </c>
      <c r="J465" s="313">
        <f t="shared" si="205"/>
        <v>23.7</v>
      </c>
    </row>
    <row r="466" spans="1:10">
      <c r="A466" s="90" t="s">
        <v>1078</v>
      </c>
      <c r="B466" s="252" t="str">
        <f>OBSOLETO!E1175</f>
        <v>Aço CA-50, 10,0 mm, vergalhão</v>
      </c>
      <c r="C466" s="253">
        <f>OBSOLETO!G1175</f>
        <v>155.34288000000001</v>
      </c>
      <c r="D466" s="90" t="str">
        <f>OBSOLETO!H1175</f>
        <v>KG</v>
      </c>
      <c r="E466" s="254">
        <v>34</v>
      </c>
      <c r="F466" s="235" t="s">
        <v>28</v>
      </c>
      <c r="G466" s="255">
        <f t="shared" si="206"/>
        <v>8.98</v>
      </c>
      <c r="H466" s="92">
        <f>BDI!$E$35</f>
        <v>0.14012827909185233</v>
      </c>
      <c r="I466" s="218">
        <f t="shared" si="204"/>
        <v>1.26</v>
      </c>
      <c r="J466" s="313">
        <f t="shared" si="205"/>
        <v>1590.71</v>
      </c>
    </row>
    <row r="467" spans="1:10">
      <c r="A467" s="90" t="s">
        <v>1079</v>
      </c>
      <c r="B467" s="252" t="str">
        <f>OBSOLETO!E1176</f>
        <v>Aço CA-50, 12,5 mm, vergalhão</v>
      </c>
      <c r="C467" s="253">
        <f>OBSOLETO!G1176</f>
        <v>58.08</v>
      </c>
      <c r="D467" s="90" t="str">
        <f>OBSOLETO!H1176</f>
        <v>KG</v>
      </c>
      <c r="E467" s="254">
        <v>43055</v>
      </c>
      <c r="F467" s="235" t="s">
        <v>28</v>
      </c>
      <c r="G467" s="255">
        <f t="shared" si="206"/>
        <v>7.78</v>
      </c>
      <c r="H467" s="92">
        <f>BDI!$E$35</f>
        <v>0.14012827909185233</v>
      </c>
      <c r="I467" s="218">
        <f t="shared" si="204"/>
        <v>1.0900000000000001</v>
      </c>
      <c r="J467" s="313">
        <f t="shared" si="205"/>
        <v>515.16999999999996</v>
      </c>
    </row>
    <row r="468" spans="1:10">
      <c r="A468" s="411" t="str">
        <f>OBSOLETO!C1210</f>
        <v>10.9</v>
      </c>
      <c r="B468" s="112" t="str">
        <f>OBSOLETO!D1210</f>
        <v>Caixa abrigo para o Macromedidor - Mão de Obra p/ Construção</v>
      </c>
      <c r="C468" s="113"/>
      <c r="D468" s="113"/>
      <c r="E468" s="113"/>
      <c r="F468" s="113"/>
      <c r="G468" s="113"/>
      <c r="H468" s="113"/>
      <c r="I468" s="214"/>
      <c r="J468" s="418"/>
    </row>
    <row r="469" spans="1:10">
      <c r="A469" s="90" t="str">
        <f>OBSOLETO!D1212</f>
        <v>10.9.1</v>
      </c>
      <c r="B469" s="252" t="str">
        <f>OBSOLETO!E1212</f>
        <v>Engenheiro Civil de obras com Encargos Complementares 4 h/dia x 5 dias</v>
      </c>
      <c r="C469" s="253">
        <f>OBSOLETO!R1212</f>
        <v>20</v>
      </c>
      <c r="D469" s="90" t="str">
        <f>OBSOLETO!S1212</f>
        <v>H</v>
      </c>
      <c r="E469" s="254">
        <v>90778</v>
      </c>
      <c r="F469" s="235" t="s">
        <v>28</v>
      </c>
      <c r="G469" s="255">
        <f>G368</f>
        <v>127.08</v>
      </c>
      <c r="H469" s="92">
        <v>0.2639754597701145</v>
      </c>
      <c r="I469" s="218">
        <v>33.549999999999997</v>
      </c>
      <c r="J469" s="313">
        <v>3212.6</v>
      </c>
    </row>
    <row r="470" spans="1:10">
      <c r="A470" s="90" t="str">
        <f>OBSOLETO!D1213</f>
        <v>10.9.2</v>
      </c>
      <c r="B470" s="252" t="str">
        <f>OBSOLETO!E1213</f>
        <v>Pedreiro com encargos complementares 8 h/dia x 5 dias x 1 profiss.</v>
      </c>
      <c r="C470" s="253">
        <f>OBSOLETO!R1213</f>
        <v>40</v>
      </c>
      <c r="D470" s="90" t="str">
        <f>OBSOLETO!S1213</f>
        <v>H</v>
      </c>
      <c r="E470" s="254">
        <v>88309</v>
      </c>
      <c r="F470" s="235" t="s">
        <v>28</v>
      </c>
      <c r="G470" s="255">
        <f t="shared" ref="G470:G473" si="207">G369</f>
        <v>30.54</v>
      </c>
      <c r="H470" s="92">
        <v>0.2639754597701145</v>
      </c>
      <c r="I470" s="218">
        <v>8.06</v>
      </c>
      <c r="J470" s="313">
        <v>1544</v>
      </c>
    </row>
    <row r="471" spans="1:10">
      <c r="A471" s="90" t="str">
        <f>OBSOLETO!D1214</f>
        <v>10.9.3</v>
      </c>
      <c r="B471" s="252" t="str">
        <f>OBSOLETO!E1214</f>
        <v>Aj. de Pedreiro com encargos complementares 8 h/dia x 5 dias x 1 profiss.</v>
      </c>
      <c r="C471" s="253">
        <f>OBSOLETO!R1214</f>
        <v>40</v>
      </c>
      <c r="D471" s="90" t="str">
        <f>OBSOLETO!S1214</f>
        <v>H</v>
      </c>
      <c r="E471" s="254">
        <v>88242</v>
      </c>
      <c r="F471" s="235" t="s">
        <v>28</v>
      </c>
      <c r="G471" s="255">
        <f t="shared" si="207"/>
        <v>26.35</v>
      </c>
      <c r="H471" s="92">
        <v>0.2639754597701145</v>
      </c>
      <c r="I471" s="218">
        <v>6.96</v>
      </c>
      <c r="J471" s="313">
        <v>1332.4</v>
      </c>
    </row>
    <row r="472" spans="1:10">
      <c r="A472" s="90" t="str">
        <f>OBSOLETO!D1215</f>
        <v>10.9.4</v>
      </c>
      <c r="B472" s="252" t="str">
        <f>OBSOLETO!E1215</f>
        <v>Armador com Encargos Complementares 8 h/dia x 1 dia x 1 profiss.</v>
      </c>
      <c r="C472" s="253">
        <f>OBSOLETO!R1215</f>
        <v>8</v>
      </c>
      <c r="D472" s="90" t="str">
        <f>OBSOLETO!S1215</f>
        <v>H</v>
      </c>
      <c r="E472" s="254">
        <v>88245</v>
      </c>
      <c r="F472" s="235" t="s">
        <v>28</v>
      </c>
      <c r="G472" s="255">
        <f t="shared" si="207"/>
        <v>30.32</v>
      </c>
      <c r="H472" s="92">
        <v>0.2639754597701145</v>
      </c>
      <c r="I472" s="218">
        <v>8</v>
      </c>
      <c r="J472" s="313">
        <v>306.56</v>
      </c>
    </row>
    <row r="473" spans="1:10" ht="25.5">
      <c r="A473" s="90" t="str">
        <f>OBSOLETO!D1216</f>
        <v>10.9.5</v>
      </c>
      <c r="B473" s="252" t="str">
        <f>OBSOLETO!E1216</f>
        <v>Guindauto hidráulico, capacidade máxima de carga 6200 kg, momento máximo de carga 11,7 tm, alcance máximo horizontal 9,70 m, inclusive caminhão toco pbt 16.000 kg, potência de 189 cv</v>
      </c>
      <c r="C473" s="253">
        <f>OBSOLETO!R1217</f>
        <v>4</v>
      </c>
      <c r="D473" s="90" t="str">
        <f>OBSOLETO!S1217</f>
        <v>CHP</v>
      </c>
      <c r="E473" s="254">
        <v>5928</v>
      </c>
      <c r="F473" s="235" t="s">
        <v>28</v>
      </c>
      <c r="G473" s="255">
        <f t="shared" si="207"/>
        <v>274.55</v>
      </c>
      <c r="H473" s="92">
        <v>0.2639754597701145</v>
      </c>
      <c r="I473" s="218">
        <v>72.47</v>
      </c>
      <c r="J473" s="313">
        <v>1388.08</v>
      </c>
    </row>
    <row r="474" spans="1:10">
      <c r="A474" s="27"/>
      <c r="B474" s="2" t="s">
        <v>312</v>
      </c>
      <c r="C474" s="30"/>
      <c r="D474" s="27"/>
      <c r="E474" s="26"/>
      <c r="F474" s="26"/>
      <c r="G474" s="28"/>
      <c r="H474" s="48"/>
      <c r="I474" s="219"/>
      <c r="J474" s="414" t="e">
        <f>SUM(J422:J473)</f>
        <v>#REF!</v>
      </c>
    </row>
    <row r="475" spans="1:10">
      <c r="A475" s="423"/>
      <c r="B475" s="392"/>
      <c r="C475" s="392"/>
      <c r="D475" s="392"/>
      <c r="E475" s="392"/>
      <c r="F475" s="392"/>
      <c r="G475" s="392"/>
      <c r="H475" s="392"/>
      <c r="I475" s="220"/>
      <c r="J475" s="424"/>
    </row>
    <row r="476" spans="1:10">
      <c r="A476" s="411">
        <f>OBSOLETO!C1220</f>
        <v>11</v>
      </c>
      <c r="B476" s="112" t="str">
        <f>OBSOLETO!D1220</f>
        <v>Implantação do Setor 08 - Centro</v>
      </c>
      <c r="C476" s="113"/>
      <c r="D476" s="113"/>
      <c r="E476" s="113"/>
      <c r="F476" s="113"/>
      <c r="G476" s="113"/>
      <c r="H476" s="113"/>
      <c r="I476" s="214"/>
      <c r="J476" s="418"/>
    </row>
    <row r="477" spans="1:10">
      <c r="A477" s="411" t="str">
        <f>OBSOLETO!C1231</f>
        <v>11.1</v>
      </c>
      <c r="B477" s="112" t="str">
        <f>OBSOLETO!D1231</f>
        <v>Sinalização de Segurança</v>
      </c>
      <c r="C477" s="113"/>
      <c r="D477" s="113"/>
      <c r="E477" s="113"/>
      <c r="F477" s="113"/>
      <c r="G477" s="113"/>
      <c r="H477" s="113"/>
      <c r="I477" s="214"/>
      <c r="J477" s="418"/>
    </row>
    <row r="478" spans="1:10">
      <c r="A478" s="27" t="str">
        <f>OBSOLETO!D1233</f>
        <v>11.1.1</v>
      </c>
      <c r="B478" s="108" t="str">
        <f>OBSOLETO!E1233</f>
        <v>Sinalização de tráfego com cerquite</v>
      </c>
      <c r="C478" s="89">
        <f>OBSOLETO!R1241</f>
        <v>2.6666666666666665</v>
      </c>
      <c r="D478" s="90" t="str">
        <f>OBSOLETO!S1241</f>
        <v>m</v>
      </c>
      <c r="E478" s="91" t="s">
        <v>28</v>
      </c>
      <c r="F478" s="114">
        <v>70020005</v>
      </c>
      <c r="G478" s="32">
        <f>G284</f>
        <v>3.46</v>
      </c>
      <c r="H478" s="92">
        <v>0</v>
      </c>
      <c r="I478" s="213">
        <f t="shared" ref="I478:I479" si="208">ROUND(G478*H478,2)</f>
        <v>0</v>
      </c>
      <c r="J478" s="421">
        <f t="shared" ref="J478:J479" si="209">ROUND(IF(ISNUMBER(I478),C478*(G478+I478),C478*G478),2)</f>
        <v>9.23</v>
      </c>
    </row>
    <row r="479" spans="1:10">
      <c r="A479" s="27" t="str">
        <f>OBSOLETO!D1243</f>
        <v>11.1.2</v>
      </c>
      <c r="B479" s="115" t="str">
        <f>OBSOLETO!E1243</f>
        <v>Sinalização luminosa para obras</v>
      </c>
      <c r="C479" s="89">
        <f>OBSOLETO!R1251</f>
        <v>2.6666666666666665</v>
      </c>
      <c r="D479" s="90" t="str">
        <f>OBSOLETO!S1251</f>
        <v>m</v>
      </c>
      <c r="E479" s="91" t="s">
        <v>28</v>
      </c>
      <c r="F479" s="90">
        <v>70020001</v>
      </c>
      <c r="G479" s="32">
        <f>G285</f>
        <v>4.97</v>
      </c>
      <c r="H479" s="92">
        <v>0</v>
      </c>
      <c r="I479" s="213">
        <f t="shared" si="208"/>
        <v>0</v>
      </c>
      <c r="J479" s="421">
        <f t="shared" si="209"/>
        <v>13.25</v>
      </c>
    </row>
    <row r="480" spans="1:10">
      <c r="A480" s="411" t="str">
        <f>OBSOLETO!C1254</f>
        <v>11.2</v>
      </c>
      <c r="B480" s="112" t="str">
        <f>OBSOLETO!D1254</f>
        <v>Preparação do solo, abertura de valas, compactação e recomposição do pavimento</v>
      </c>
      <c r="C480" s="113"/>
      <c r="D480" s="113"/>
      <c r="E480" s="113"/>
      <c r="F480" s="113"/>
      <c r="G480" s="113"/>
      <c r="H480" s="113"/>
      <c r="I480" s="214"/>
      <c r="J480" s="418"/>
    </row>
    <row r="481" spans="1:10">
      <c r="A481" s="90" t="str">
        <f>OBSOLETO!D1256</f>
        <v>11.2.1</v>
      </c>
      <c r="B481" s="47" t="str">
        <f>OBSOLETO!E1256</f>
        <v xml:space="preserve">Definição e demarcação da área de reparo com disco de corte </v>
      </c>
      <c r="C481" s="89">
        <f>OBSOLETO!R1259</f>
        <v>16</v>
      </c>
      <c r="D481" s="90" t="str">
        <f>OBSOLETO!S1259</f>
        <v>m</v>
      </c>
      <c r="E481" s="91" t="s">
        <v>28</v>
      </c>
      <c r="F481" s="90">
        <v>70190008</v>
      </c>
      <c r="G481" s="32">
        <f>G379</f>
        <v>7.51</v>
      </c>
      <c r="H481" s="92">
        <v>0</v>
      </c>
      <c r="I481" s="215">
        <f t="shared" ref="I481:I489" si="210">ROUND(G481*H481,2)</f>
        <v>0</v>
      </c>
      <c r="J481" s="421">
        <f t="shared" ref="J481:J489" si="211">ROUND(IF(ISNUMBER(I481),C481*(G481+I481),C481*G481),2)</f>
        <v>120.16</v>
      </c>
    </row>
    <row r="482" spans="1:10">
      <c r="A482" s="90" t="str">
        <f>OBSOLETO!D1262</f>
        <v>11.2.2</v>
      </c>
      <c r="B482" s="47" t="str">
        <f>OBSOLETO!E1262</f>
        <v>Demolição de Pavimentação Asfáltica com utilização de martelo perfurador, espessura até 15cm, exclusive carga e transporte</v>
      </c>
      <c r="C482" s="89">
        <f>OBSOLETO!R1265</f>
        <v>8</v>
      </c>
      <c r="D482" s="90" t="str">
        <f>OBSOLETO!S1265</f>
        <v>m²</v>
      </c>
      <c r="E482" s="90">
        <v>97636</v>
      </c>
      <c r="F482" s="91" t="s">
        <v>28</v>
      </c>
      <c r="G482" s="32">
        <f>G380</f>
        <v>19.64</v>
      </c>
      <c r="H482" s="92">
        <f>BDI!$E$19</f>
        <v>0.24117279049169804</v>
      </c>
      <c r="I482" s="213">
        <f t="shared" si="210"/>
        <v>4.74</v>
      </c>
      <c r="J482" s="421">
        <f t="shared" si="211"/>
        <v>195.04</v>
      </c>
    </row>
    <row r="483" spans="1:10">
      <c r="A483" s="90" t="str">
        <f>OBSOLETO!D1268</f>
        <v>11.2.3</v>
      </c>
      <c r="B483" s="47" t="str">
        <f>OBSOLETO!E1268</f>
        <v>Remoção de entulho inclusive a carga, transporte e descarga em bota fora a qualquer distância</v>
      </c>
      <c r="C483" s="89">
        <f>OBSOLETO!R1270</f>
        <v>0.4</v>
      </c>
      <c r="D483" s="90" t="str">
        <f>OBSOLETO!S1270</f>
        <v>m³</v>
      </c>
      <c r="E483" s="91" t="s">
        <v>28</v>
      </c>
      <c r="F483" s="90">
        <v>70190145</v>
      </c>
      <c r="G483" s="32">
        <f>G387</f>
        <v>136.94999999999999</v>
      </c>
      <c r="H483" s="92">
        <v>0</v>
      </c>
      <c r="I483" s="213">
        <f t="shared" si="210"/>
        <v>0</v>
      </c>
      <c r="J483" s="421">
        <f t="shared" si="211"/>
        <v>54.78</v>
      </c>
    </row>
    <row r="484" spans="1:10" ht="25.5">
      <c r="A484" s="90" t="str">
        <f>OBSOLETO!D1273</f>
        <v>11.2.4</v>
      </c>
      <c r="B484" s="47" t="str">
        <f>OBSOLETO!E1273</f>
        <v>Retroescavadeira sobre rodas com carregadeira, Tração 4X4, Potência LÍQ. 88 HP, Caçamba Carreg. Cap. Mín. 1 m³, Caçamba Retro Cap. 0,26 m³, peso operacional mín. 6.674 KG, profundidade de escavação máx. 4,37 m</v>
      </c>
      <c r="C484" s="89">
        <f>OBSOLETO!R1275</f>
        <v>56</v>
      </c>
      <c r="D484" s="90" t="str">
        <f>OBSOLETO!S1275</f>
        <v>CHP</v>
      </c>
      <c r="E484" s="90">
        <v>5678</v>
      </c>
      <c r="F484" s="91" t="s">
        <v>28</v>
      </c>
      <c r="G484" s="32">
        <f>G290</f>
        <v>153.33000000000001</v>
      </c>
      <c r="H484" s="92">
        <f>BDI!$E$19</f>
        <v>0.24117279049169804</v>
      </c>
      <c r="I484" s="213">
        <f t="shared" si="210"/>
        <v>36.979999999999997</v>
      </c>
      <c r="J484" s="421">
        <f t="shared" si="211"/>
        <v>10657.36</v>
      </c>
    </row>
    <row r="485" spans="1:10" ht="25.5">
      <c r="A485" s="90" t="str">
        <f>OBSOLETO!D1278</f>
        <v>11.2.5</v>
      </c>
      <c r="B485" s="47" t="str">
        <f>OBSOLETO!E1278</f>
        <v>Retroescavadeira sobre rodas com carregadeira, Tração 4X4, Potência LÍQ. 88 HP, Caçamba Carreg. Cap. Mín. 1 m³, Caçamba Retro Cap. 0,26 m³, peso operacional mín. 6.674 KG, profundidade de escavação máx. 4,37 m</v>
      </c>
      <c r="C485" s="89">
        <f>OBSOLETO!R1280</f>
        <v>14</v>
      </c>
      <c r="D485" s="90" t="str">
        <f>OBSOLETO!S1280</f>
        <v>CHI</v>
      </c>
      <c r="E485" s="90">
        <v>5679</v>
      </c>
      <c r="F485" s="91" t="s">
        <v>28</v>
      </c>
      <c r="G485" s="32">
        <f>G291</f>
        <v>65.69</v>
      </c>
      <c r="H485" s="92">
        <f>BDI!$E$19</f>
        <v>0.24117279049169804</v>
      </c>
      <c r="I485" s="213">
        <f t="shared" si="210"/>
        <v>15.84</v>
      </c>
      <c r="J485" s="421">
        <f t="shared" si="211"/>
        <v>1141.42</v>
      </c>
    </row>
    <row r="486" spans="1:10">
      <c r="A486" s="90" t="str">
        <f>OBSOLETO!D1283</f>
        <v>11.2.6</v>
      </c>
      <c r="B486" s="47" t="str">
        <f>OBSOLETO!E1283</f>
        <v>Reaterro mecanizado de vala</v>
      </c>
      <c r="C486" s="89">
        <f>OBSOLETO!R1285</f>
        <v>12</v>
      </c>
      <c r="D486" s="90" t="str">
        <f>OBSOLETO!S1285</f>
        <v>m³</v>
      </c>
      <c r="E486" s="254">
        <v>93360</v>
      </c>
      <c r="F486" s="235" t="s">
        <v>28</v>
      </c>
      <c r="G486" s="32">
        <f>G293</f>
        <v>24.08</v>
      </c>
      <c r="H486" s="92">
        <f>BDI!$E$19</f>
        <v>0.24117279049169804</v>
      </c>
      <c r="I486" s="213">
        <f t="shared" si="210"/>
        <v>5.81</v>
      </c>
      <c r="J486" s="421">
        <f t="shared" si="211"/>
        <v>358.68</v>
      </c>
    </row>
    <row r="487" spans="1:10">
      <c r="A487" s="90" t="str">
        <f>OBSOLETO!D1288</f>
        <v>11.2.7</v>
      </c>
      <c r="B487" s="47" t="str">
        <f>OBSOLETO!E1288</f>
        <v>Sub-base em brita ou macadame hidráulico (B)</v>
      </c>
      <c r="C487" s="89">
        <f>OBSOLETO!R1291</f>
        <v>1.2</v>
      </c>
      <c r="D487" s="90" t="str">
        <f>OBSOLETO!S1291</f>
        <v>m³</v>
      </c>
      <c r="E487" s="91" t="s">
        <v>28</v>
      </c>
      <c r="F487" s="90">
        <v>70090091</v>
      </c>
      <c r="G487" s="32">
        <f>G388</f>
        <v>170.15</v>
      </c>
      <c r="H487" s="92">
        <v>0</v>
      </c>
      <c r="I487" s="213">
        <f t="shared" si="210"/>
        <v>0</v>
      </c>
      <c r="J487" s="421">
        <f t="shared" si="211"/>
        <v>204.18</v>
      </c>
    </row>
    <row r="488" spans="1:10">
      <c r="A488" s="90" t="str">
        <f>OBSOLETO!D1294</f>
        <v>11.2.8</v>
      </c>
      <c r="B488" s="47" t="str">
        <f>OBSOLETO!E1294</f>
        <v>Pintura de ligação em emulsão RR-2C</v>
      </c>
      <c r="C488" s="89">
        <f>OBSOLETO!R1296</f>
        <v>8</v>
      </c>
      <c r="D488" s="90" t="str">
        <f>OBSOLETO!S1296</f>
        <v>m²</v>
      </c>
      <c r="E488" s="91" t="s">
        <v>28</v>
      </c>
      <c r="F488" s="90">
        <v>70090093</v>
      </c>
      <c r="G488" s="32">
        <f t="shared" ref="G488:G489" si="212">G389</f>
        <v>20.74</v>
      </c>
      <c r="H488" s="92">
        <v>0</v>
      </c>
      <c r="I488" s="213">
        <f t="shared" si="210"/>
        <v>0</v>
      </c>
      <c r="J488" s="421">
        <f t="shared" si="211"/>
        <v>165.92</v>
      </c>
    </row>
    <row r="489" spans="1:10">
      <c r="A489" s="90" t="str">
        <f>OBSOLETO!D1299</f>
        <v>11.2.9</v>
      </c>
      <c r="B489" s="47" t="str">
        <f>OBSOLETO!E1299</f>
        <v>Capa de concreto asfáltico (B) (e=5cm)</v>
      </c>
      <c r="C489" s="89">
        <f>OBSOLETO!R1302</f>
        <v>0.4</v>
      </c>
      <c r="D489" s="90" t="str">
        <f>OBSOLETO!S1302</f>
        <v>m³</v>
      </c>
      <c r="E489" s="91" t="s">
        <v>28</v>
      </c>
      <c r="F489" s="90">
        <v>70090095</v>
      </c>
      <c r="G489" s="32">
        <f t="shared" si="212"/>
        <v>2117.17</v>
      </c>
      <c r="H489" s="92">
        <v>0</v>
      </c>
      <c r="I489" s="213">
        <f t="shared" si="210"/>
        <v>0</v>
      </c>
      <c r="J489" s="421">
        <f t="shared" si="211"/>
        <v>846.87</v>
      </c>
    </row>
    <row r="490" spans="1:10">
      <c r="A490" s="411" t="s">
        <v>619</v>
      </c>
      <c r="B490" s="112" t="s">
        <v>1141</v>
      </c>
      <c r="C490" s="113"/>
      <c r="D490" s="113"/>
      <c r="E490" s="113"/>
      <c r="F490" s="113"/>
      <c r="G490" s="113"/>
      <c r="H490" s="113"/>
      <c r="I490" s="214"/>
      <c r="J490" s="418"/>
    </row>
    <row r="491" spans="1:10">
      <c r="A491" s="90" t="s">
        <v>620</v>
      </c>
      <c r="B491" s="47" t="s">
        <v>263</v>
      </c>
      <c r="C491" s="89">
        <v>4</v>
      </c>
      <c r="D491" s="90" t="s">
        <v>268</v>
      </c>
      <c r="E491" s="90">
        <v>1206</v>
      </c>
      <c r="F491" s="91" t="s">
        <v>28</v>
      </c>
      <c r="G491" s="255">
        <v>8.6300000000000008</v>
      </c>
      <c r="H491" s="92">
        <f>BDI!$E$35</f>
        <v>0.14012827909185233</v>
      </c>
      <c r="I491" s="213">
        <f t="shared" ref="I491:I492" si="213">ROUND(G491*H491,2)</f>
        <v>1.21</v>
      </c>
      <c r="J491" s="421">
        <f t="shared" ref="J491:J492" si="214">ROUND(IF(ISNUMBER(I491),C491*(G491+I491),C491*G491),2)</f>
        <v>39.36</v>
      </c>
    </row>
    <row r="492" spans="1:10">
      <c r="A492" s="90" t="s">
        <v>621</v>
      </c>
      <c r="B492" s="47" t="s">
        <v>311</v>
      </c>
      <c r="C492" s="89">
        <v>4</v>
      </c>
      <c r="D492" s="90" t="s">
        <v>268</v>
      </c>
      <c r="E492" s="938" t="s">
        <v>183</v>
      </c>
      <c r="F492" s="939"/>
      <c r="G492" s="255" t="e">
        <f>#REF!</f>
        <v>#REF!</v>
      </c>
      <c r="H492" s="92">
        <f>BDI!$E$35</f>
        <v>0.14012827909185233</v>
      </c>
      <c r="I492" s="213" t="e">
        <f t="shared" si="213"/>
        <v>#REF!</v>
      </c>
      <c r="J492" s="421" t="e">
        <f t="shared" si="214"/>
        <v>#REF!</v>
      </c>
    </row>
    <row r="493" spans="1:10">
      <c r="A493" s="411" t="s">
        <v>622</v>
      </c>
      <c r="B493" s="112" t="s">
        <v>19</v>
      </c>
      <c r="C493" s="113"/>
      <c r="D493" s="113"/>
      <c r="E493" s="113"/>
      <c r="F493" s="113"/>
      <c r="G493" s="113"/>
      <c r="H493" s="113"/>
      <c r="I493" s="214"/>
      <c r="J493" s="418"/>
    </row>
    <row r="494" spans="1:10">
      <c r="A494" s="90" t="str">
        <f>OBSOLETO!D1318</f>
        <v>11.4.1</v>
      </c>
      <c r="B494" s="109" t="str">
        <f>OBSOLETO!E1318</f>
        <v>Engenheiro Civil de obras com Encargos Complementares 1 h/dia x 2 dias</v>
      </c>
      <c r="C494" s="89">
        <f>OBSOLETO!R1318</f>
        <v>2</v>
      </c>
      <c r="D494" s="90" t="str">
        <f>OBSOLETO!S1318</f>
        <v>H</v>
      </c>
      <c r="E494" s="90">
        <v>90778</v>
      </c>
      <c r="F494" s="91" t="s">
        <v>28</v>
      </c>
      <c r="G494" s="32">
        <f>G469</f>
        <v>127.08</v>
      </c>
      <c r="H494" s="92">
        <f>BDI!$E$19</f>
        <v>0.24117279049169804</v>
      </c>
      <c r="I494" s="213">
        <f>ROUND(G494*H494,2)</f>
        <v>30.65</v>
      </c>
      <c r="J494" s="421">
        <f t="shared" ref="J494:J497" si="215">ROUND(IF(ISNUMBER(I494),C494*(G494+I494),C494*G494),2)</f>
        <v>315.45999999999998</v>
      </c>
    </row>
    <row r="495" spans="1:10">
      <c r="A495" s="90" t="str">
        <f>OBSOLETO!D1319</f>
        <v>11.4.2</v>
      </c>
      <c r="B495" s="109" t="str">
        <f>OBSOLETO!E1319</f>
        <v>Encarregado Geral com Encargos Complementares 8 h/dia x 2 dia</v>
      </c>
      <c r="C495" s="89">
        <f>OBSOLETO!R1319</f>
        <v>8</v>
      </c>
      <c r="D495" s="90" t="str">
        <f>OBSOLETO!S1319</f>
        <v>H</v>
      </c>
      <c r="E495" s="90">
        <v>90776</v>
      </c>
      <c r="F495" s="91" t="s">
        <v>28</v>
      </c>
      <c r="G495" s="32">
        <f>G456</f>
        <v>38.46</v>
      </c>
      <c r="H495" s="92">
        <f>BDI!$E$19</f>
        <v>0.24117279049169804</v>
      </c>
      <c r="I495" s="213">
        <f t="shared" ref="I495:I497" si="216">ROUND(G495*H495,2)</f>
        <v>9.2799999999999994</v>
      </c>
      <c r="J495" s="421">
        <f t="shared" si="215"/>
        <v>381.92</v>
      </c>
    </row>
    <row r="496" spans="1:10">
      <c r="A496" s="90" t="str">
        <f>OBSOLETO!D1320</f>
        <v>11.4.3</v>
      </c>
      <c r="B496" s="109" t="str">
        <f>OBSOLETO!E1320</f>
        <v>Encanador com Encargos Complementares 8 h/dia x 2 dia x 1 profiss.</v>
      </c>
      <c r="C496" s="89">
        <f>OBSOLETO!R1320</f>
        <v>8</v>
      </c>
      <c r="D496" s="90" t="str">
        <f>OBSOLETO!S1320</f>
        <v>H</v>
      </c>
      <c r="E496" s="90">
        <v>88248</v>
      </c>
      <c r="F496" s="91" t="s">
        <v>28</v>
      </c>
      <c r="G496" s="32">
        <f t="shared" ref="G496:G497" si="217">G457</f>
        <v>32.049999999999997</v>
      </c>
      <c r="H496" s="92">
        <f>BDI!$E$19</f>
        <v>0.24117279049169804</v>
      </c>
      <c r="I496" s="213">
        <f t="shared" si="216"/>
        <v>7.73</v>
      </c>
      <c r="J496" s="421">
        <f t="shared" si="215"/>
        <v>318.24</v>
      </c>
    </row>
    <row r="497" spans="1:10">
      <c r="A497" s="90" t="str">
        <f>OBSOLETO!D1321</f>
        <v>11.4.4</v>
      </c>
      <c r="B497" s="109" t="str">
        <f>OBSOLETO!E1321</f>
        <v>Auxiliar de encanador com Encargos Complementares 8 h/dia x 2 dia x 1 profiss.</v>
      </c>
      <c r="C497" s="89">
        <f>OBSOLETO!R1321</f>
        <v>8</v>
      </c>
      <c r="D497" s="90" t="str">
        <f>OBSOLETO!S1321</f>
        <v>H</v>
      </c>
      <c r="E497" s="90">
        <v>88267</v>
      </c>
      <c r="F497" s="91" t="s">
        <v>28</v>
      </c>
      <c r="G497" s="32">
        <f t="shared" si="217"/>
        <v>27.57</v>
      </c>
      <c r="H497" s="92">
        <f>BDI!$E$19</f>
        <v>0.24117279049169804</v>
      </c>
      <c r="I497" s="213">
        <f t="shared" si="216"/>
        <v>6.65</v>
      </c>
      <c r="J497" s="421">
        <f t="shared" si="215"/>
        <v>273.76</v>
      </c>
    </row>
    <row r="498" spans="1:10">
      <c r="A498" s="411" t="str">
        <f>OBSOLETO!C1324</f>
        <v>11.5</v>
      </c>
      <c r="B498" s="112" t="str">
        <f>OBSOLETO!D1324</f>
        <v>Serviços Finais</v>
      </c>
      <c r="C498" s="113"/>
      <c r="D498" s="113"/>
      <c r="E498" s="113"/>
      <c r="F498" s="113"/>
      <c r="G498" s="113"/>
      <c r="H498" s="113"/>
      <c r="I498" s="214"/>
      <c r="J498" s="418"/>
    </row>
    <row r="499" spans="1:10">
      <c r="A499" s="27" t="s">
        <v>626</v>
      </c>
      <c r="B499" s="108" t="str">
        <f>OBSOLETO!E1326</f>
        <v>Limpeza Final de Obra</v>
      </c>
      <c r="C499" s="89">
        <f>OBSOLETO!R1328</f>
        <v>8</v>
      </c>
      <c r="D499" s="90" t="str">
        <f>OBSOLETO!S1328</f>
        <v>m²</v>
      </c>
      <c r="E499" s="91" t="s">
        <v>28</v>
      </c>
      <c r="F499" s="90">
        <v>70190144</v>
      </c>
      <c r="G499" s="32">
        <f>G416</f>
        <v>12.01</v>
      </c>
      <c r="H499" s="92">
        <v>0</v>
      </c>
      <c r="I499" s="216">
        <f t="shared" ref="I499" si="218">ROUND(G499*H499,2)</f>
        <v>0</v>
      </c>
      <c r="J499" s="421">
        <f t="shared" ref="J499" si="219">ROUND(IF(ISNUMBER(I499),C499*(G499+I499),C499*G499),2)</f>
        <v>96.08</v>
      </c>
    </row>
    <row r="500" spans="1:10">
      <c r="A500" s="411" t="s">
        <v>627</v>
      </c>
      <c r="B500" s="112" t="s">
        <v>741</v>
      </c>
      <c r="C500" s="113"/>
      <c r="D500" s="113"/>
      <c r="E500" s="113"/>
      <c r="F500" s="113"/>
      <c r="G500" s="113"/>
      <c r="H500" s="113"/>
      <c r="I500" s="214"/>
      <c r="J500" s="418"/>
    </row>
    <row r="501" spans="1:10">
      <c r="A501" s="27" t="s">
        <v>628</v>
      </c>
      <c r="B501" s="47" t="s">
        <v>754</v>
      </c>
      <c r="C501" s="30">
        <f>1*2</f>
        <v>2</v>
      </c>
      <c r="D501" s="27" t="s">
        <v>987</v>
      </c>
      <c r="E501" s="936" t="s">
        <v>183</v>
      </c>
      <c r="F501" s="937"/>
      <c r="G501" s="255" t="e">
        <f>#REF!</f>
        <v>#REF!</v>
      </c>
      <c r="H501" s="42">
        <f>BDI!$E$35</f>
        <v>0.14012827909185233</v>
      </c>
      <c r="I501" s="217" t="e">
        <f t="shared" ref="I501:I505" si="220">ROUND(G501*H501,2)</f>
        <v>#REF!</v>
      </c>
      <c r="J501" s="313" t="e">
        <f t="shared" ref="J501:J505" si="221">ROUND(IF(ISNUMBER(I501),C501*(G501+I501),C501*G501),2)</f>
        <v>#REF!</v>
      </c>
    </row>
    <row r="502" spans="1:10">
      <c r="A502" s="27" t="s">
        <v>729</v>
      </c>
      <c r="B502" s="47" t="s">
        <v>368</v>
      </c>
      <c r="C502" s="30">
        <f>2*2</f>
        <v>4</v>
      </c>
      <c r="D502" s="27" t="s">
        <v>987</v>
      </c>
      <c r="E502" s="26" t="s">
        <v>28</v>
      </c>
      <c r="F502" s="26" t="s">
        <v>367</v>
      </c>
      <c r="G502" s="255">
        <f>G320</f>
        <v>329.75</v>
      </c>
      <c r="H502" s="42">
        <v>0</v>
      </c>
      <c r="I502" s="217">
        <f t="shared" si="220"/>
        <v>0</v>
      </c>
      <c r="J502" s="313">
        <f t="shared" si="221"/>
        <v>1319</v>
      </c>
    </row>
    <row r="503" spans="1:10">
      <c r="A503" s="27" t="s">
        <v>730</v>
      </c>
      <c r="B503" s="47" t="s">
        <v>370</v>
      </c>
      <c r="C503" s="30">
        <f>2*2</f>
        <v>4</v>
      </c>
      <c r="D503" s="27" t="s">
        <v>987</v>
      </c>
      <c r="E503" s="26" t="s">
        <v>28</v>
      </c>
      <c r="F503" s="26" t="s">
        <v>369</v>
      </c>
      <c r="G503" s="255">
        <f>G321</f>
        <v>573.39</v>
      </c>
      <c r="H503" s="42">
        <v>0</v>
      </c>
      <c r="I503" s="217">
        <f t="shared" si="220"/>
        <v>0</v>
      </c>
      <c r="J503" s="313">
        <f t="shared" si="221"/>
        <v>2293.56</v>
      </c>
    </row>
    <row r="504" spans="1:10">
      <c r="A504" s="27" t="s">
        <v>731</v>
      </c>
      <c r="B504" s="47" t="s">
        <v>372</v>
      </c>
      <c r="C504" s="30">
        <f>2*2</f>
        <v>4</v>
      </c>
      <c r="D504" s="27" t="s">
        <v>987</v>
      </c>
      <c r="E504" s="26" t="s">
        <v>28</v>
      </c>
      <c r="F504" s="26" t="s">
        <v>371</v>
      </c>
      <c r="G504" s="255">
        <f>G322</f>
        <v>377.92</v>
      </c>
      <c r="H504" s="42">
        <v>0</v>
      </c>
      <c r="I504" s="217">
        <f t="shared" si="220"/>
        <v>0</v>
      </c>
      <c r="J504" s="313">
        <f t="shared" si="221"/>
        <v>1511.68</v>
      </c>
    </row>
    <row r="505" spans="1:10">
      <c r="A505" s="27" t="s">
        <v>732</v>
      </c>
      <c r="B505" s="47" t="s">
        <v>373</v>
      </c>
      <c r="C505" s="30">
        <f>2*2</f>
        <v>4</v>
      </c>
      <c r="D505" s="27" t="s">
        <v>987</v>
      </c>
      <c r="E505" s="26" t="s">
        <v>28</v>
      </c>
      <c r="F505" s="26" t="s">
        <v>374</v>
      </c>
      <c r="G505" s="255">
        <f>G323</f>
        <v>28.64</v>
      </c>
      <c r="H505" s="42">
        <v>0</v>
      </c>
      <c r="I505" s="217">
        <f t="shared" si="220"/>
        <v>0</v>
      </c>
      <c r="J505" s="313">
        <f t="shared" si="221"/>
        <v>114.56</v>
      </c>
    </row>
    <row r="506" spans="1:10">
      <c r="A506" s="411" t="str">
        <f>OBSOLETO!C1331</f>
        <v>11.7</v>
      </c>
      <c r="B506" s="112" t="str">
        <f>OBSOLETO!D1331</f>
        <v>Macromedidor do Poço - Instalação</v>
      </c>
      <c r="C506" s="113"/>
      <c r="D506" s="113"/>
      <c r="E506" s="113"/>
      <c r="F506" s="113"/>
      <c r="G506" s="113"/>
      <c r="H506" s="113"/>
      <c r="I506" s="214"/>
      <c r="J506" s="418"/>
    </row>
    <row r="507" spans="1:10">
      <c r="A507" s="413" t="str">
        <f>OBSOLETO!D1332</f>
        <v>11.7.1</v>
      </c>
      <c r="B507" s="109" t="str">
        <f>OBSOLETO!E1332</f>
        <v>Engenheiro Civil de obras com Encargos Complementares 4 h/dia x 2 dias x 2 macromedidores</v>
      </c>
      <c r="C507" s="30">
        <v>16</v>
      </c>
      <c r="D507" s="27" t="str">
        <f>OBSOLETO!S1332</f>
        <v>H</v>
      </c>
      <c r="E507" s="26" t="s">
        <v>1111</v>
      </c>
      <c r="F507" s="26" t="s">
        <v>28</v>
      </c>
      <c r="G507" s="255">
        <f>G494</f>
        <v>127.08</v>
      </c>
      <c r="H507" s="92">
        <v>0.2639754597701145</v>
      </c>
      <c r="I507" s="218">
        <f t="shared" ref="I507:I511" si="222">ROUND(G507*H507,2)</f>
        <v>33.549999999999997</v>
      </c>
      <c r="J507" s="313">
        <f t="shared" ref="J507:J511" si="223">ROUND(IF(ISNUMBER(I507),C507*(G507+I507),C507*G507),2)</f>
        <v>2570.08</v>
      </c>
    </row>
    <row r="508" spans="1:10">
      <c r="A508" s="413" t="str">
        <f>OBSOLETO!D1333</f>
        <v>11.7.2</v>
      </c>
      <c r="B508" s="109" t="str">
        <f>OBSOLETO!E1333</f>
        <v>Encarregado Geral com Encargos Complementares 8 h/dia x 2 dias x 2 macromedidores</v>
      </c>
      <c r="C508" s="30">
        <v>32</v>
      </c>
      <c r="D508" s="27" t="str">
        <f>OBSOLETO!S1333</f>
        <v>H</v>
      </c>
      <c r="E508" s="26" t="s">
        <v>1113</v>
      </c>
      <c r="F508" s="26" t="s">
        <v>28</v>
      </c>
      <c r="G508" s="255">
        <f>G495</f>
        <v>38.46</v>
      </c>
      <c r="H508" s="92">
        <v>0.2639754597701145</v>
      </c>
      <c r="I508" s="218">
        <f t="shared" si="222"/>
        <v>10.15</v>
      </c>
      <c r="J508" s="313">
        <f t="shared" si="223"/>
        <v>1555.52</v>
      </c>
    </row>
    <row r="509" spans="1:10">
      <c r="A509" s="413" t="str">
        <f>OBSOLETO!D1334</f>
        <v>11.7.3</v>
      </c>
      <c r="B509" s="109" t="str">
        <f>OBSOLETO!E1334</f>
        <v>Encanador com Encargos Complementares 8 h/dia x 2 dias x 1 profiss. X 2 macromedidores</v>
      </c>
      <c r="C509" s="30">
        <v>32</v>
      </c>
      <c r="D509" s="27" t="str">
        <f>OBSOLETO!S1334</f>
        <v>H</v>
      </c>
      <c r="E509" s="26" t="s">
        <v>1117</v>
      </c>
      <c r="F509" s="26" t="s">
        <v>28</v>
      </c>
      <c r="G509" s="255">
        <f>G496</f>
        <v>32.049999999999997</v>
      </c>
      <c r="H509" s="92">
        <v>0.2639754597701145</v>
      </c>
      <c r="I509" s="218">
        <f t="shared" si="222"/>
        <v>8.4600000000000009</v>
      </c>
      <c r="J509" s="313">
        <f t="shared" si="223"/>
        <v>1296.32</v>
      </c>
    </row>
    <row r="510" spans="1:10">
      <c r="A510" s="413" t="str">
        <f>OBSOLETO!D1335</f>
        <v>11.7.4</v>
      </c>
      <c r="B510" s="109" t="str">
        <f>OBSOLETO!E1335</f>
        <v>Auxiliar de encanador com Encargos Complementares 8 h/dia x 2 dias x 1 profiss. X 2 macromedidores</v>
      </c>
      <c r="C510" s="30">
        <v>32</v>
      </c>
      <c r="D510" s="27" t="str">
        <f>OBSOLETO!S1335</f>
        <v>H</v>
      </c>
      <c r="E510" s="26" t="s">
        <v>1115</v>
      </c>
      <c r="F510" s="26" t="s">
        <v>28</v>
      </c>
      <c r="G510" s="255">
        <f>G497</f>
        <v>27.57</v>
      </c>
      <c r="H510" s="92">
        <v>0.2639754597701145</v>
      </c>
      <c r="I510" s="218">
        <f t="shared" si="222"/>
        <v>7.28</v>
      </c>
      <c r="J510" s="313">
        <f t="shared" si="223"/>
        <v>1115.2</v>
      </c>
    </row>
    <row r="511" spans="1:10">
      <c r="A511" s="413" t="str">
        <f>OBSOLETO!D1336</f>
        <v>11.7.5</v>
      </c>
      <c r="B511" s="109" t="str">
        <f>OBSOLETO!E1336</f>
        <v>Motorista de Veículo Leve com Encargos Complementares 8 h/ dia x 2 dias x 1 profiss. X 2 macromedidores</v>
      </c>
      <c r="C511" s="30">
        <v>32</v>
      </c>
      <c r="D511" s="27" t="str">
        <f>OBSOLETO!S1336</f>
        <v>H</v>
      </c>
      <c r="E511" s="26" t="s">
        <v>1118</v>
      </c>
      <c r="F511" s="26" t="s">
        <v>28</v>
      </c>
      <c r="G511" s="255">
        <f>G434</f>
        <v>26.82</v>
      </c>
      <c r="H511" s="92">
        <v>0.2639754597701145</v>
      </c>
      <c r="I511" s="218">
        <f t="shared" si="222"/>
        <v>7.08</v>
      </c>
      <c r="J511" s="313">
        <f t="shared" si="223"/>
        <v>1084.8</v>
      </c>
    </row>
    <row r="512" spans="1:10">
      <c r="A512" s="411" t="str">
        <f>OBSOLETO!C1339</f>
        <v>11.8</v>
      </c>
      <c r="B512" s="112" t="str">
        <f>OBSOLETO!D1339</f>
        <v>Aferição e Calibração de Macromedidor com equipamento do tipo ultrassônico</v>
      </c>
      <c r="C512" s="113"/>
      <c r="D512" s="113"/>
      <c r="E512" s="113"/>
      <c r="F512" s="113"/>
      <c r="G512" s="113"/>
      <c r="H512" s="113"/>
      <c r="I512" s="214"/>
      <c r="J512" s="418"/>
    </row>
    <row r="513" spans="1:10">
      <c r="A513" s="413" t="str">
        <f>OBSOLETO!D1340</f>
        <v>11.8.1</v>
      </c>
      <c r="B513" s="109" t="str">
        <f>OBSOLETO!E1340</f>
        <v>Engenheiro Civil de obras com Encargos Complementares 4 h/dia x 2 dia x 1 macromedidores</v>
      </c>
      <c r="C513" s="30">
        <f>OBSOLETO!R1340</f>
        <v>8</v>
      </c>
      <c r="D513" s="27" t="str">
        <f>OBSOLETO!S1340</f>
        <v>H</v>
      </c>
      <c r="E513" s="26" t="s">
        <v>1111</v>
      </c>
      <c r="F513" s="26" t="s">
        <v>28</v>
      </c>
      <c r="G513" s="255">
        <f>G507</f>
        <v>127.08</v>
      </c>
      <c r="H513" s="92">
        <v>0.2639754597701145</v>
      </c>
      <c r="I513" s="218">
        <f t="shared" ref="I513:I515" si="224">ROUND(G513*H513,2)</f>
        <v>33.549999999999997</v>
      </c>
      <c r="J513" s="313">
        <f t="shared" ref="J513:J515" si="225">ROUND(IF(ISNUMBER(I513),C513*(G513+I513),C513*G513),2)</f>
        <v>1285.04</v>
      </c>
    </row>
    <row r="514" spans="1:10">
      <c r="A514" s="413" t="str">
        <f>OBSOLETO!D1341</f>
        <v>11.8.2</v>
      </c>
      <c r="B514" s="109" t="str">
        <f>OBSOLETO!E1341</f>
        <v>Encanador com Encargos Complementares 8 h/dia x 2 dias x 1 profiss. X 1 macromedidores</v>
      </c>
      <c r="C514" s="30">
        <f>OBSOLETO!R1341</f>
        <v>16</v>
      </c>
      <c r="D514" s="27" t="str">
        <f>OBSOLETO!S1341</f>
        <v>H</v>
      </c>
      <c r="E514" s="26" t="s">
        <v>1117</v>
      </c>
      <c r="F514" s="26" t="s">
        <v>28</v>
      </c>
      <c r="G514" s="255">
        <f>G509</f>
        <v>32.049999999999997</v>
      </c>
      <c r="H514" s="92">
        <v>0.2639754597701145</v>
      </c>
      <c r="I514" s="218">
        <f t="shared" si="224"/>
        <v>8.4600000000000009</v>
      </c>
      <c r="J514" s="313">
        <f t="shared" si="225"/>
        <v>648.16</v>
      </c>
    </row>
    <row r="515" spans="1:10">
      <c r="A515" s="413" t="str">
        <f>OBSOLETO!D1342</f>
        <v>11.8.3</v>
      </c>
      <c r="B515" s="109" t="str">
        <f>OBSOLETO!E1342</f>
        <v>Auxiliar de encanador com Encargos Complementares 8 h/dia x 2 dias x 1 profiss. x 1 macromedidores</v>
      </c>
      <c r="C515" s="30">
        <f>OBSOLETO!R1342</f>
        <v>16</v>
      </c>
      <c r="D515" s="27" t="str">
        <f>OBSOLETO!S1342</f>
        <v>H</v>
      </c>
      <c r="E515" s="26" t="s">
        <v>1115</v>
      </c>
      <c r="F515" s="26" t="s">
        <v>28</v>
      </c>
      <c r="G515" s="255">
        <f>G510</f>
        <v>27.57</v>
      </c>
      <c r="H515" s="92">
        <v>0.2639754597701145</v>
      </c>
      <c r="I515" s="218">
        <f t="shared" si="224"/>
        <v>7.28</v>
      </c>
      <c r="J515" s="313">
        <f t="shared" si="225"/>
        <v>557.6</v>
      </c>
    </row>
    <row r="516" spans="1:10">
      <c r="A516" s="411" t="s">
        <v>1035</v>
      </c>
      <c r="B516" s="112" t="s">
        <v>1036</v>
      </c>
      <c r="C516" s="113"/>
      <c r="D516" s="113"/>
      <c r="E516" s="113"/>
      <c r="F516" s="113"/>
      <c r="G516" s="113"/>
      <c r="H516" s="113"/>
      <c r="I516" s="214"/>
      <c r="J516" s="418"/>
    </row>
    <row r="517" spans="1:10">
      <c r="A517" s="413" t="s">
        <v>1037</v>
      </c>
      <c r="B517" s="109" t="s">
        <v>1038</v>
      </c>
      <c r="C517" s="30">
        <v>1</v>
      </c>
      <c r="D517" s="27" t="s">
        <v>245</v>
      </c>
      <c r="E517" s="927" t="s">
        <v>1443</v>
      </c>
      <c r="F517" s="928"/>
      <c r="G517" s="255">
        <f>'Composição 04'!D10</f>
        <v>8390.1439999999984</v>
      </c>
      <c r="H517" s="33">
        <f>BDI!$E$19</f>
        <v>0.24117279049169804</v>
      </c>
      <c r="I517" s="218">
        <f t="shared" ref="I517" si="226">ROUND(G517*H517,2)</f>
        <v>2023.47</v>
      </c>
      <c r="J517" s="313">
        <f t="shared" ref="J517" si="227">ROUND(IF(ISNUMBER(I517),C517*(G517+I517),C517*G517),2)</f>
        <v>10413.61</v>
      </c>
    </row>
    <row r="518" spans="1:10">
      <c r="A518" s="27"/>
      <c r="B518" s="2" t="s">
        <v>315</v>
      </c>
      <c r="C518" s="30"/>
      <c r="D518" s="27"/>
      <c r="E518" s="26"/>
      <c r="F518" s="26"/>
      <c r="G518" s="28"/>
      <c r="H518" s="48"/>
      <c r="I518" s="219"/>
      <c r="J518" s="414" t="e">
        <f>SUM(J478:J517)</f>
        <v>#REF!</v>
      </c>
    </row>
    <row r="519" spans="1:10">
      <c r="A519" s="423"/>
      <c r="B519" s="392"/>
      <c r="C519" s="392"/>
      <c r="D519" s="392"/>
      <c r="E519" s="392"/>
      <c r="F519" s="392"/>
      <c r="G519" s="392"/>
      <c r="H519" s="392"/>
      <c r="I519" s="220"/>
      <c r="J519" s="424"/>
    </row>
    <row r="520" spans="1:10">
      <c r="A520" s="411">
        <v>12</v>
      </c>
      <c r="B520" s="112" t="s">
        <v>313</v>
      </c>
      <c r="C520" s="113"/>
      <c r="D520" s="113"/>
      <c r="E520" s="113"/>
      <c r="F520" s="113"/>
      <c r="G520" s="113"/>
      <c r="H520" s="113"/>
      <c r="I520" s="214"/>
      <c r="J520" s="418"/>
    </row>
    <row r="521" spans="1:10">
      <c r="A521" s="411" t="s">
        <v>317</v>
      </c>
      <c r="B521" s="112" t="s">
        <v>356</v>
      </c>
      <c r="C521" s="113"/>
      <c r="D521" s="113"/>
      <c r="E521" s="113"/>
      <c r="F521" s="113"/>
      <c r="G521" s="113"/>
      <c r="H521" s="113"/>
      <c r="I521" s="214"/>
      <c r="J521" s="418"/>
    </row>
    <row r="522" spans="1:10">
      <c r="A522" s="27" t="s">
        <v>639</v>
      </c>
      <c r="B522" s="47" t="s">
        <v>757</v>
      </c>
      <c r="C522" s="30">
        <v>1</v>
      </c>
      <c r="D522" s="27" t="s">
        <v>987</v>
      </c>
      <c r="E522" s="936" t="s">
        <v>183</v>
      </c>
      <c r="F522" s="937"/>
      <c r="G522" s="255" t="e">
        <f>#REF!</f>
        <v>#REF!</v>
      </c>
      <c r="H522" s="42">
        <f>BDI!$E$35</f>
        <v>0.14012827909185233</v>
      </c>
      <c r="I522" s="217" t="e">
        <f t="shared" ref="I522:I526" si="228">ROUND(G522*H522,2)</f>
        <v>#REF!</v>
      </c>
      <c r="J522" s="313" t="e">
        <f t="shared" ref="J522:J526" si="229">ROUND(IF(ISNUMBER(I522),C522*(G522+I522),C522*G522),2)</f>
        <v>#REF!</v>
      </c>
    </row>
    <row r="523" spans="1:10">
      <c r="A523" s="27" t="s">
        <v>640</v>
      </c>
      <c r="B523" s="47" t="s">
        <v>743</v>
      </c>
      <c r="C523" s="30">
        <v>2</v>
      </c>
      <c r="D523" s="27" t="s">
        <v>987</v>
      </c>
      <c r="E523" s="26" t="s">
        <v>28</v>
      </c>
      <c r="F523" s="26" t="s">
        <v>742</v>
      </c>
      <c r="G523" s="255">
        <v>427.08</v>
      </c>
      <c r="H523" s="42">
        <v>0</v>
      </c>
      <c r="I523" s="217">
        <f t="shared" si="228"/>
        <v>0</v>
      </c>
      <c r="J523" s="313">
        <f t="shared" si="229"/>
        <v>854.16</v>
      </c>
    </row>
    <row r="524" spans="1:10">
      <c r="A524" s="27" t="s">
        <v>641</v>
      </c>
      <c r="B524" s="47" t="s">
        <v>745</v>
      </c>
      <c r="C524" s="30">
        <v>2</v>
      </c>
      <c r="D524" s="27" t="s">
        <v>987</v>
      </c>
      <c r="E524" s="26" t="s">
        <v>28</v>
      </c>
      <c r="F524" s="26" t="s">
        <v>744</v>
      </c>
      <c r="G524" s="255">
        <v>619.66999999999996</v>
      </c>
      <c r="H524" s="42">
        <v>0</v>
      </c>
      <c r="I524" s="217">
        <f t="shared" si="228"/>
        <v>0</v>
      </c>
      <c r="J524" s="313">
        <f t="shared" si="229"/>
        <v>1239.3399999999999</v>
      </c>
    </row>
    <row r="525" spans="1:10">
      <c r="A525" s="27" t="s">
        <v>642</v>
      </c>
      <c r="B525" s="47" t="s">
        <v>746</v>
      </c>
      <c r="C525" s="30">
        <v>2</v>
      </c>
      <c r="D525" s="27" t="s">
        <v>987</v>
      </c>
      <c r="E525" s="26" t="s">
        <v>28</v>
      </c>
      <c r="F525" s="26" t="s">
        <v>747</v>
      </c>
      <c r="G525" s="255">
        <v>377.92</v>
      </c>
      <c r="H525" s="42">
        <v>0</v>
      </c>
      <c r="I525" s="217">
        <f t="shared" si="228"/>
        <v>0</v>
      </c>
      <c r="J525" s="313">
        <f t="shared" si="229"/>
        <v>755.84</v>
      </c>
    </row>
    <row r="526" spans="1:10">
      <c r="A526" s="27" t="s">
        <v>643</v>
      </c>
      <c r="B526" s="47" t="s">
        <v>748</v>
      </c>
      <c r="C526" s="30">
        <v>2</v>
      </c>
      <c r="D526" s="27" t="s">
        <v>987</v>
      </c>
      <c r="E526" s="26" t="s">
        <v>28</v>
      </c>
      <c r="F526" s="26" t="s">
        <v>374</v>
      </c>
      <c r="G526" s="255">
        <f>G505</f>
        <v>28.64</v>
      </c>
      <c r="H526" s="42">
        <v>0</v>
      </c>
      <c r="I526" s="217">
        <f t="shared" si="228"/>
        <v>0</v>
      </c>
      <c r="J526" s="313">
        <f t="shared" si="229"/>
        <v>57.28</v>
      </c>
    </row>
    <row r="527" spans="1:10">
      <c r="A527" s="411" t="str">
        <f>OBSOLETO!C1347</f>
        <v>12.2</v>
      </c>
      <c r="B527" s="112" t="str">
        <f>OBSOLETO!D1347</f>
        <v>Macromedidor do Poço - Instalação</v>
      </c>
      <c r="C527" s="113"/>
      <c r="D527" s="113"/>
      <c r="E527" s="113"/>
      <c r="F527" s="113"/>
      <c r="G527" s="113"/>
      <c r="H527" s="113"/>
      <c r="I527" s="214"/>
      <c r="J527" s="418"/>
    </row>
    <row r="528" spans="1:10">
      <c r="A528" s="413" t="str">
        <f>OBSOLETO!D1348</f>
        <v>12.2.1</v>
      </c>
      <c r="B528" s="109" t="str">
        <f>OBSOLETO!E1348</f>
        <v>Engenheiro Civil de obras com Encargos Complementares 4 h/dia x 2 dias</v>
      </c>
      <c r="C528" s="30">
        <f>OBSOLETO!R1348</f>
        <v>8</v>
      </c>
      <c r="D528" s="27" t="str">
        <f>OBSOLETO!S1348</f>
        <v>H</v>
      </c>
      <c r="E528" s="26" t="s">
        <v>1111</v>
      </c>
      <c r="F528" s="26" t="s">
        <v>28</v>
      </c>
      <c r="G528" s="255">
        <f>G513</f>
        <v>127.08</v>
      </c>
      <c r="H528" s="33">
        <f>BDI!$E$19</f>
        <v>0.24117279049169804</v>
      </c>
      <c r="I528" s="218">
        <f t="shared" ref="I528:I532" si="230">ROUND(G528*H528,2)</f>
        <v>30.65</v>
      </c>
      <c r="J528" s="313">
        <f t="shared" ref="J528:J532" si="231">ROUND(IF(ISNUMBER(I528),C528*(G528+I528),C528*G528),2)</f>
        <v>1261.8399999999999</v>
      </c>
    </row>
    <row r="529" spans="1:10">
      <c r="A529" s="413" t="str">
        <f>OBSOLETO!D1349</f>
        <v>12.2.2</v>
      </c>
      <c r="B529" s="109" t="str">
        <f>OBSOLETO!E1349</f>
        <v>Encarregado Geral com Encargos Complementares 8 h/dia x 2 dias</v>
      </c>
      <c r="C529" s="30">
        <f>OBSOLETO!R1349</f>
        <v>16</v>
      </c>
      <c r="D529" s="27" t="str">
        <f>OBSOLETO!S1349</f>
        <v>H</v>
      </c>
      <c r="E529" s="26" t="s">
        <v>1113</v>
      </c>
      <c r="F529" s="26" t="s">
        <v>28</v>
      </c>
      <c r="G529" s="255">
        <f>G508</f>
        <v>38.46</v>
      </c>
      <c r="H529" s="33">
        <f>BDI!$E$19</f>
        <v>0.24117279049169804</v>
      </c>
      <c r="I529" s="218">
        <f t="shared" si="230"/>
        <v>9.2799999999999994</v>
      </c>
      <c r="J529" s="313">
        <f t="shared" si="231"/>
        <v>763.84</v>
      </c>
    </row>
    <row r="530" spans="1:10">
      <c r="A530" s="413" t="str">
        <f>OBSOLETO!D1350</f>
        <v>12.2.3</v>
      </c>
      <c r="B530" s="109" t="str">
        <f>OBSOLETO!E1350</f>
        <v>Encanador com Encargos Complementares 8 h/dia x 2 dias x 1 profiss.</v>
      </c>
      <c r="C530" s="30">
        <f>OBSOLETO!R1350</f>
        <v>16</v>
      </c>
      <c r="D530" s="27" t="str">
        <f>OBSOLETO!S1350</f>
        <v>H</v>
      </c>
      <c r="E530" s="26" t="s">
        <v>1117</v>
      </c>
      <c r="F530" s="26" t="s">
        <v>28</v>
      </c>
      <c r="G530" s="255">
        <f t="shared" ref="G530:G532" si="232">G509</f>
        <v>32.049999999999997</v>
      </c>
      <c r="H530" s="33">
        <f>BDI!$E$19</f>
        <v>0.24117279049169804</v>
      </c>
      <c r="I530" s="218">
        <f t="shared" si="230"/>
        <v>7.73</v>
      </c>
      <c r="J530" s="313">
        <f t="shared" si="231"/>
        <v>636.48</v>
      </c>
    </row>
    <row r="531" spans="1:10">
      <c r="A531" s="413" t="str">
        <f>OBSOLETO!D1351</f>
        <v>12.2.4</v>
      </c>
      <c r="B531" s="109" t="str">
        <f>OBSOLETO!E1351</f>
        <v>Auxiliar de encanador com Encargos Complementares 8 h/dia x 2 dias x 1 profiss.</v>
      </c>
      <c r="C531" s="30">
        <f>OBSOLETO!R1351</f>
        <v>16</v>
      </c>
      <c r="D531" s="27" t="str">
        <f>OBSOLETO!S1351</f>
        <v>H</v>
      </c>
      <c r="E531" s="26" t="s">
        <v>1115</v>
      </c>
      <c r="F531" s="26" t="s">
        <v>28</v>
      </c>
      <c r="G531" s="255">
        <f t="shared" si="232"/>
        <v>27.57</v>
      </c>
      <c r="H531" s="33">
        <f>BDI!$E$19</f>
        <v>0.24117279049169804</v>
      </c>
      <c r="I531" s="218">
        <f t="shared" si="230"/>
        <v>6.65</v>
      </c>
      <c r="J531" s="313">
        <f t="shared" si="231"/>
        <v>547.52</v>
      </c>
    </row>
    <row r="532" spans="1:10">
      <c r="A532" s="413" t="str">
        <f>OBSOLETO!D1352</f>
        <v>12.2.5</v>
      </c>
      <c r="B532" s="109" t="str">
        <f>OBSOLETO!E1352</f>
        <v>Motorista de Veículo Leve com Encargos Complementares 8 h/ dia x 2 dias x 1 profiss.</v>
      </c>
      <c r="C532" s="30">
        <f>OBSOLETO!R1352</f>
        <v>16</v>
      </c>
      <c r="D532" s="27" t="str">
        <f>OBSOLETO!S1352</f>
        <v>H</v>
      </c>
      <c r="E532" s="26" t="s">
        <v>1118</v>
      </c>
      <c r="F532" s="26" t="s">
        <v>28</v>
      </c>
      <c r="G532" s="255">
        <f t="shared" si="232"/>
        <v>26.82</v>
      </c>
      <c r="H532" s="33">
        <f>BDI!$E$19</f>
        <v>0.24117279049169804</v>
      </c>
      <c r="I532" s="218">
        <f t="shared" si="230"/>
        <v>6.47</v>
      </c>
      <c r="J532" s="313">
        <f t="shared" si="231"/>
        <v>532.64</v>
      </c>
    </row>
    <row r="533" spans="1:10">
      <c r="A533" s="411" t="str">
        <f>OBSOLETO!C1354</f>
        <v>12.3</v>
      </c>
      <c r="B533" s="112" t="str">
        <f>OBSOLETO!D1354</f>
        <v>Aferição e Calibração de Macromedidor com equipamento do tipo ultrassônico</v>
      </c>
      <c r="C533" s="113"/>
      <c r="D533" s="113"/>
      <c r="E533" s="113"/>
      <c r="F533" s="113"/>
      <c r="G533" s="113"/>
      <c r="H533" s="113"/>
      <c r="I533" s="214"/>
      <c r="J533" s="418"/>
    </row>
    <row r="534" spans="1:10">
      <c r="A534" s="413" t="str">
        <f>OBSOLETO!D1355</f>
        <v>12.3.1</v>
      </c>
      <c r="B534" s="109" t="str">
        <f>OBSOLETO!E1355</f>
        <v>Engenheiro Civil de obras com Encargos Complementares 4 h/dia x 1 dia</v>
      </c>
      <c r="C534" s="30">
        <f>OBSOLETO!R1355</f>
        <v>4</v>
      </c>
      <c r="D534" s="27" t="str">
        <f>OBSOLETO!S1355</f>
        <v>H</v>
      </c>
      <c r="E534" s="26" t="s">
        <v>1111</v>
      </c>
      <c r="F534" s="26" t="s">
        <v>28</v>
      </c>
      <c r="G534" s="255">
        <f>G528</f>
        <v>127.08</v>
      </c>
      <c r="H534" s="33">
        <f>BDI!$E$19</f>
        <v>0.24117279049169804</v>
      </c>
      <c r="I534" s="218">
        <f t="shared" ref="I534:I536" si="233">ROUND(G534*H534,2)</f>
        <v>30.65</v>
      </c>
      <c r="J534" s="313">
        <f t="shared" ref="J534:J536" si="234">ROUND(IF(ISNUMBER(I534),C534*(G534+I534),C534*G534),2)</f>
        <v>630.91999999999996</v>
      </c>
    </row>
    <row r="535" spans="1:10">
      <c r="A535" s="413" t="str">
        <f>OBSOLETO!D1356</f>
        <v>12.3.2</v>
      </c>
      <c r="B535" s="109" t="str">
        <f>OBSOLETO!E1356</f>
        <v>Encanador com Encargos Complementares 8 h/dia x 1 dias x 1 profiss.</v>
      </c>
      <c r="C535" s="30">
        <f>OBSOLETO!R1356</f>
        <v>8</v>
      </c>
      <c r="D535" s="27" t="str">
        <f>OBSOLETO!S1356</f>
        <v>H</v>
      </c>
      <c r="E535" s="26" t="s">
        <v>1117</v>
      </c>
      <c r="F535" s="26" t="s">
        <v>28</v>
      </c>
      <c r="G535" s="255">
        <f>G530</f>
        <v>32.049999999999997</v>
      </c>
      <c r="H535" s="33">
        <f>BDI!$E$19</f>
        <v>0.24117279049169804</v>
      </c>
      <c r="I535" s="218">
        <f t="shared" si="233"/>
        <v>7.73</v>
      </c>
      <c r="J535" s="313">
        <f t="shared" si="234"/>
        <v>318.24</v>
      </c>
    </row>
    <row r="536" spans="1:10">
      <c r="A536" s="413" t="str">
        <f>OBSOLETO!D1357</f>
        <v>12.3.3</v>
      </c>
      <c r="B536" s="109" t="str">
        <f>OBSOLETO!E1357</f>
        <v>Auxiliar de encanador com Encargos Complementares 8 h/dia x 1 dias x 1 profiss.</v>
      </c>
      <c r="C536" s="30">
        <f>OBSOLETO!R1357</f>
        <v>8</v>
      </c>
      <c r="D536" s="27" t="str">
        <f>OBSOLETO!S1357</f>
        <v>H</v>
      </c>
      <c r="E536" s="26" t="s">
        <v>1115</v>
      </c>
      <c r="F536" s="26" t="s">
        <v>28</v>
      </c>
      <c r="G536" s="255">
        <f>G531</f>
        <v>27.57</v>
      </c>
      <c r="H536" s="33">
        <f>BDI!$E$19</f>
        <v>0.24117279049169804</v>
      </c>
      <c r="I536" s="218">
        <f t="shared" si="233"/>
        <v>6.65</v>
      </c>
      <c r="J536" s="313">
        <f t="shared" si="234"/>
        <v>273.76</v>
      </c>
    </row>
    <row r="537" spans="1:10">
      <c r="A537" s="411" t="s">
        <v>1030</v>
      </c>
      <c r="B537" s="112" t="s">
        <v>1422</v>
      </c>
      <c r="C537" s="113"/>
      <c r="D537" s="113"/>
      <c r="E537" s="113"/>
      <c r="F537" s="113"/>
      <c r="G537" s="113"/>
      <c r="H537" s="113"/>
      <c r="I537" s="214"/>
      <c r="J537" s="418"/>
    </row>
    <row r="538" spans="1:10" ht="42.75" customHeight="1">
      <c r="A538" s="413" t="s">
        <v>1031</v>
      </c>
      <c r="B538" s="233" t="s">
        <v>1109</v>
      </c>
      <c r="C538" s="89">
        <v>1</v>
      </c>
      <c r="D538" s="90" t="s">
        <v>245</v>
      </c>
      <c r="E538" s="929" t="s">
        <v>1439</v>
      </c>
      <c r="F538" s="930"/>
      <c r="G538" s="255" t="e">
        <f>#REF!</f>
        <v>#REF!</v>
      </c>
      <c r="H538" s="33">
        <f>BDI!$E$19</f>
        <v>0.24117279049169804</v>
      </c>
      <c r="I538" s="218" t="e">
        <f t="shared" ref="I538" si="235">ROUND(G538*H538,2)</f>
        <v>#REF!</v>
      </c>
      <c r="J538" s="313" t="e">
        <f t="shared" ref="J538" si="236">ROUND(IF(ISNUMBER(I538),C538*(G538+I538),C538*G538),2)</f>
        <v>#REF!</v>
      </c>
    </row>
    <row r="539" spans="1:10">
      <c r="A539" s="27"/>
      <c r="B539" s="2" t="s">
        <v>318</v>
      </c>
      <c r="C539" s="30"/>
      <c r="D539" s="27"/>
      <c r="E539" s="26"/>
      <c r="F539" s="26"/>
      <c r="G539" s="28"/>
      <c r="H539" s="48"/>
      <c r="I539" s="28"/>
      <c r="J539" s="414" t="e">
        <f>SUM(J522:J538)</f>
        <v>#REF!</v>
      </c>
    </row>
    <row r="540" spans="1:10">
      <c r="A540" s="423"/>
      <c r="B540" s="392"/>
      <c r="C540" s="392"/>
      <c r="D540" s="392"/>
      <c r="E540" s="392"/>
      <c r="F540" s="392"/>
      <c r="G540" s="392"/>
      <c r="H540" s="392"/>
      <c r="I540" s="392"/>
      <c r="J540" s="424"/>
    </row>
    <row r="541" spans="1:10">
      <c r="A541" s="411">
        <v>13</v>
      </c>
      <c r="B541" s="112" t="s">
        <v>316</v>
      </c>
      <c r="C541" s="113"/>
      <c r="D541" s="113"/>
      <c r="E541" s="113"/>
      <c r="F541" s="113"/>
      <c r="G541" s="113"/>
      <c r="H541" s="113"/>
      <c r="I541" s="113"/>
      <c r="J541" s="418"/>
    </row>
    <row r="542" spans="1:10">
      <c r="A542" s="411" t="s">
        <v>319</v>
      </c>
      <c r="B542" s="112" t="s">
        <v>356</v>
      </c>
      <c r="C542" s="113"/>
      <c r="D542" s="113"/>
      <c r="E542" s="113"/>
      <c r="F542" s="113"/>
      <c r="G542" s="113"/>
      <c r="H542" s="113"/>
      <c r="I542" s="113"/>
      <c r="J542" s="420"/>
    </row>
    <row r="543" spans="1:10">
      <c r="A543" s="27" t="s">
        <v>654</v>
      </c>
      <c r="B543" s="47" t="s">
        <v>758</v>
      </c>
      <c r="C543" s="30">
        <v>1</v>
      </c>
      <c r="D543" s="27" t="s">
        <v>987</v>
      </c>
      <c r="E543" s="936" t="s">
        <v>183</v>
      </c>
      <c r="F543" s="937"/>
      <c r="G543" s="255" t="e">
        <f>G319</f>
        <v>#REF!</v>
      </c>
      <c r="H543" s="42">
        <f>BDI!$E$35</f>
        <v>0.14012827909185233</v>
      </c>
      <c r="I543" s="217" t="e">
        <f t="shared" ref="I543:I547" si="237">ROUND(G543*H543,2)</f>
        <v>#REF!</v>
      </c>
      <c r="J543" s="313" t="e">
        <f t="shared" ref="J543:J547" si="238">ROUND(IF(ISNUMBER(I543),C543*(G543+I543),C543*G543),2)</f>
        <v>#REF!</v>
      </c>
    </row>
    <row r="544" spans="1:10">
      <c r="A544" s="27" t="s">
        <v>749</v>
      </c>
      <c r="B544" s="47" t="s">
        <v>368</v>
      </c>
      <c r="C544" s="30">
        <v>2</v>
      </c>
      <c r="D544" s="27" t="s">
        <v>987</v>
      </c>
      <c r="E544" s="26" t="s">
        <v>28</v>
      </c>
      <c r="F544" s="26" t="s">
        <v>367</v>
      </c>
      <c r="G544" s="255">
        <f>G320</f>
        <v>329.75</v>
      </c>
      <c r="H544" s="42">
        <v>0</v>
      </c>
      <c r="I544" s="217">
        <f t="shared" si="237"/>
        <v>0</v>
      </c>
      <c r="J544" s="313">
        <f t="shared" si="238"/>
        <v>659.5</v>
      </c>
    </row>
    <row r="545" spans="1:10">
      <c r="A545" s="27" t="s">
        <v>750</v>
      </c>
      <c r="B545" s="47" t="s">
        <v>370</v>
      </c>
      <c r="C545" s="30">
        <v>2</v>
      </c>
      <c r="D545" s="27" t="s">
        <v>987</v>
      </c>
      <c r="E545" s="26" t="s">
        <v>28</v>
      </c>
      <c r="F545" s="26" t="s">
        <v>369</v>
      </c>
      <c r="G545" s="255">
        <f>G321</f>
        <v>573.39</v>
      </c>
      <c r="H545" s="42">
        <v>0</v>
      </c>
      <c r="I545" s="217">
        <f t="shared" si="237"/>
        <v>0</v>
      </c>
      <c r="J545" s="313">
        <f t="shared" si="238"/>
        <v>1146.78</v>
      </c>
    </row>
    <row r="546" spans="1:10">
      <c r="A546" s="27" t="s">
        <v>751</v>
      </c>
      <c r="B546" s="47" t="s">
        <v>372</v>
      </c>
      <c r="C546" s="30">
        <v>2</v>
      </c>
      <c r="D546" s="27" t="s">
        <v>987</v>
      </c>
      <c r="E546" s="26" t="s">
        <v>28</v>
      </c>
      <c r="F546" s="26" t="s">
        <v>371</v>
      </c>
      <c r="G546" s="255">
        <f>G322</f>
        <v>377.92</v>
      </c>
      <c r="H546" s="42">
        <v>0</v>
      </c>
      <c r="I546" s="217">
        <f t="shared" si="237"/>
        <v>0</v>
      </c>
      <c r="J546" s="313">
        <f t="shared" si="238"/>
        <v>755.84</v>
      </c>
    </row>
    <row r="547" spans="1:10">
      <c r="A547" s="27" t="s">
        <v>752</v>
      </c>
      <c r="B547" s="47" t="s">
        <v>373</v>
      </c>
      <c r="C547" s="30">
        <v>2</v>
      </c>
      <c r="D547" s="27" t="s">
        <v>987</v>
      </c>
      <c r="E547" s="26" t="s">
        <v>28</v>
      </c>
      <c r="F547" s="26" t="s">
        <v>374</v>
      </c>
      <c r="G547" s="255">
        <f>G323</f>
        <v>28.64</v>
      </c>
      <c r="H547" s="42">
        <v>0</v>
      </c>
      <c r="I547" s="217">
        <f t="shared" si="237"/>
        <v>0</v>
      </c>
      <c r="J547" s="313">
        <f t="shared" si="238"/>
        <v>57.28</v>
      </c>
    </row>
    <row r="548" spans="1:10">
      <c r="A548" s="411" t="str">
        <f>OBSOLETO!C1362</f>
        <v>13.2</v>
      </c>
      <c r="B548" s="112" t="str">
        <f>OBSOLETO!D1362</f>
        <v>Macromedidor do Poço - Instalação</v>
      </c>
      <c r="C548" s="113"/>
      <c r="D548" s="113"/>
      <c r="E548" s="113"/>
      <c r="F548" s="113"/>
      <c r="G548" s="113"/>
      <c r="H548" s="113"/>
      <c r="I548" s="214"/>
      <c r="J548" s="418"/>
    </row>
    <row r="549" spans="1:10">
      <c r="A549" s="413" t="str">
        <f>OBSOLETO!D1363</f>
        <v>13.2.1</v>
      </c>
      <c r="B549" s="109" t="str">
        <f>OBSOLETO!E1363</f>
        <v>Engenheiro Civil de obras com Encargos Complementares 4 h/dia x 2 dias</v>
      </c>
      <c r="C549" s="30">
        <f>OBSOLETO!R1363</f>
        <v>8</v>
      </c>
      <c r="D549" s="27" t="str">
        <f>OBSOLETO!S1363</f>
        <v>H</v>
      </c>
      <c r="E549" s="26" t="s">
        <v>1111</v>
      </c>
      <c r="F549" s="26" t="s">
        <v>28</v>
      </c>
      <c r="G549" s="255">
        <f>G534</f>
        <v>127.08</v>
      </c>
      <c r="H549" s="33">
        <f>BDI!$E$19</f>
        <v>0.24117279049169804</v>
      </c>
      <c r="I549" s="218">
        <f t="shared" ref="I549:I553" si="239">ROUND(G549*H549,2)</f>
        <v>30.65</v>
      </c>
      <c r="J549" s="313">
        <f t="shared" ref="J549:J553" si="240">ROUND(IF(ISNUMBER(I549),C549*(G549+I549),C549*G549),2)</f>
        <v>1261.8399999999999</v>
      </c>
    </row>
    <row r="550" spans="1:10">
      <c r="A550" s="413" t="str">
        <f>OBSOLETO!D1364</f>
        <v>13.2.2</v>
      </c>
      <c r="B550" s="109" t="str">
        <f>OBSOLETO!E1364</f>
        <v>Encarregado Geral com Encargos Complementares 8 h/dia x 2 dias</v>
      </c>
      <c r="C550" s="30">
        <f>OBSOLETO!R1364</f>
        <v>16</v>
      </c>
      <c r="D550" s="27" t="str">
        <f>OBSOLETO!S1364</f>
        <v>H</v>
      </c>
      <c r="E550" s="26" t="s">
        <v>1113</v>
      </c>
      <c r="F550" s="26" t="s">
        <v>28</v>
      </c>
      <c r="G550" s="255">
        <f>G529</f>
        <v>38.46</v>
      </c>
      <c r="H550" s="33">
        <f>BDI!$E$19</f>
        <v>0.24117279049169804</v>
      </c>
      <c r="I550" s="218">
        <f t="shared" si="239"/>
        <v>9.2799999999999994</v>
      </c>
      <c r="J550" s="313">
        <f t="shared" si="240"/>
        <v>763.84</v>
      </c>
    </row>
    <row r="551" spans="1:10">
      <c r="A551" s="413" t="str">
        <f>OBSOLETO!D1365</f>
        <v>13.2.3</v>
      </c>
      <c r="B551" s="109" t="str">
        <f>OBSOLETO!E1365</f>
        <v>Encanador com Encargos Complementares 8 h/dia x 2 dias x 1 profiss.</v>
      </c>
      <c r="C551" s="30">
        <f>OBSOLETO!R1365</f>
        <v>16</v>
      </c>
      <c r="D551" s="27" t="str">
        <f>OBSOLETO!S1365</f>
        <v>H</v>
      </c>
      <c r="E551" s="26" t="s">
        <v>1117</v>
      </c>
      <c r="F551" s="26" t="s">
        <v>28</v>
      </c>
      <c r="G551" s="255">
        <f>G530</f>
        <v>32.049999999999997</v>
      </c>
      <c r="H551" s="33">
        <f>BDI!$E$19</f>
        <v>0.24117279049169804</v>
      </c>
      <c r="I551" s="218">
        <f t="shared" si="239"/>
        <v>7.73</v>
      </c>
      <c r="J551" s="313">
        <f t="shared" si="240"/>
        <v>636.48</v>
      </c>
    </row>
    <row r="552" spans="1:10">
      <c r="A552" s="413" t="str">
        <f>OBSOLETO!D1366</f>
        <v>13.2.4</v>
      </c>
      <c r="B552" s="109" t="str">
        <f>OBSOLETO!E1366</f>
        <v>Auxiliar de encanador com Encargos Complementares 8 h/dia x 2 dias x 1 profiss.</v>
      </c>
      <c r="C552" s="30">
        <f>OBSOLETO!R1366</f>
        <v>16</v>
      </c>
      <c r="D552" s="27" t="str">
        <f>OBSOLETO!S1366</f>
        <v>H</v>
      </c>
      <c r="E552" s="26" t="s">
        <v>1115</v>
      </c>
      <c r="F552" s="26" t="s">
        <v>28</v>
      </c>
      <c r="G552" s="255">
        <f t="shared" ref="G552:G553" si="241">G531</f>
        <v>27.57</v>
      </c>
      <c r="H552" s="33">
        <f>BDI!$E$19</f>
        <v>0.24117279049169804</v>
      </c>
      <c r="I552" s="218">
        <f t="shared" si="239"/>
        <v>6.65</v>
      </c>
      <c r="J552" s="313">
        <f t="shared" si="240"/>
        <v>547.52</v>
      </c>
    </row>
    <row r="553" spans="1:10">
      <c r="A553" s="413" t="str">
        <f>OBSOLETO!D1367</f>
        <v>13.2.5</v>
      </c>
      <c r="B553" s="109" t="str">
        <f>OBSOLETO!E1367</f>
        <v>Motorista de Veículo Leve com Encargos Complementares 8 h/ dia x 2 dias x 1 profiss.</v>
      </c>
      <c r="C553" s="30">
        <f>OBSOLETO!R1367</f>
        <v>16</v>
      </c>
      <c r="D553" s="27" t="str">
        <f>OBSOLETO!S1367</f>
        <v>H</v>
      </c>
      <c r="E553" s="26" t="s">
        <v>1118</v>
      </c>
      <c r="F553" s="26" t="s">
        <v>28</v>
      </c>
      <c r="G553" s="255">
        <f t="shared" si="241"/>
        <v>26.82</v>
      </c>
      <c r="H553" s="33">
        <f>BDI!$E$19</f>
        <v>0.24117279049169804</v>
      </c>
      <c r="I553" s="218">
        <f t="shared" si="239"/>
        <v>6.47</v>
      </c>
      <c r="J553" s="313">
        <f t="shared" si="240"/>
        <v>532.64</v>
      </c>
    </row>
    <row r="554" spans="1:10">
      <c r="A554" s="411" t="str">
        <f>OBSOLETO!C1369</f>
        <v>13.3</v>
      </c>
      <c r="B554" s="112" t="str">
        <f>OBSOLETO!D1369</f>
        <v>Aferição e Calibração de Macromedidor com equipamento do tipo ultrassônico</v>
      </c>
      <c r="C554" s="113"/>
      <c r="D554" s="113"/>
      <c r="E554" s="113"/>
      <c r="F554" s="113"/>
      <c r="G554" s="113"/>
      <c r="H554" s="113"/>
      <c r="I554" s="214"/>
      <c r="J554" s="418"/>
    </row>
    <row r="555" spans="1:10">
      <c r="A555" s="413" t="str">
        <f>OBSOLETO!D1370</f>
        <v>13.3.1</v>
      </c>
      <c r="B555" s="109" t="str">
        <f>OBSOLETO!E1370</f>
        <v>Engenheiro Civil de obras com Encargos Complementares 4 h/dia x 1 dia</v>
      </c>
      <c r="C555" s="30">
        <f>OBSOLETO!R1370</f>
        <v>4</v>
      </c>
      <c r="D555" s="27" t="str">
        <f>OBSOLETO!S1370</f>
        <v>H</v>
      </c>
      <c r="E555" s="26" t="s">
        <v>1111</v>
      </c>
      <c r="F555" s="26" t="s">
        <v>28</v>
      </c>
      <c r="G555" s="255">
        <f>G549</f>
        <v>127.08</v>
      </c>
      <c r="H555" s="33">
        <f>BDI!$E$19</f>
        <v>0.24117279049169804</v>
      </c>
      <c r="I555" s="218">
        <f t="shared" ref="I555:I557" si="242">ROUND(G555*H555,2)</f>
        <v>30.65</v>
      </c>
      <c r="J555" s="313">
        <f t="shared" ref="J555:J557" si="243">ROUND(IF(ISNUMBER(I555),C555*(G555+I555),C555*G555),2)</f>
        <v>630.91999999999996</v>
      </c>
    </row>
    <row r="556" spans="1:10">
      <c r="A556" s="413" t="str">
        <f>OBSOLETO!D1371</f>
        <v>13.3.2</v>
      </c>
      <c r="B556" s="109" t="str">
        <f>OBSOLETO!E1371</f>
        <v>Encanador com Encargos Complementares 8 h/dia x 1 dias x 1 profiss.</v>
      </c>
      <c r="C556" s="30">
        <f>OBSOLETO!R1371</f>
        <v>8</v>
      </c>
      <c r="D556" s="27" t="str">
        <f>OBSOLETO!S1371</f>
        <v>H</v>
      </c>
      <c r="E556" s="26" t="s">
        <v>1117</v>
      </c>
      <c r="F556" s="26" t="s">
        <v>28</v>
      </c>
      <c r="G556" s="255">
        <f>G551</f>
        <v>32.049999999999997</v>
      </c>
      <c r="H556" s="33">
        <f>BDI!$E$19</f>
        <v>0.24117279049169804</v>
      </c>
      <c r="I556" s="218">
        <f t="shared" si="242"/>
        <v>7.73</v>
      </c>
      <c r="J556" s="313">
        <f t="shared" si="243"/>
        <v>318.24</v>
      </c>
    </row>
    <row r="557" spans="1:10">
      <c r="A557" s="413" t="str">
        <f>OBSOLETO!D1372</f>
        <v>13.3.3</v>
      </c>
      <c r="B557" s="109" t="str">
        <f>OBSOLETO!E1372</f>
        <v>Auxiliar de encanador com Encargos Complementares 8 h/dia x 1 dias x 1 profiss.</v>
      </c>
      <c r="C557" s="30">
        <f>OBSOLETO!R1372</f>
        <v>8</v>
      </c>
      <c r="D557" s="27" t="str">
        <f>OBSOLETO!S1372</f>
        <v>H</v>
      </c>
      <c r="E557" s="26" t="s">
        <v>1115</v>
      </c>
      <c r="F557" s="26" t="s">
        <v>28</v>
      </c>
      <c r="G557" s="255">
        <f>G552</f>
        <v>27.57</v>
      </c>
      <c r="H557" s="33">
        <f>BDI!$E$19</f>
        <v>0.24117279049169804</v>
      </c>
      <c r="I557" s="218">
        <f t="shared" si="242"/>
        <v>6.65</v>
      </c>
      <c r="J557" s="313">
        <f t="shared" si="243"/>
        <v>273.76</v>
      </c>
    </row>
    <row r="558" spans="1:10">
      <c r="A558" s="27"/>
      <c r="B558" s="2" t="s">
        <v>324</v>
      </c>
      <c r="C558" s="30"/>
      <c r="D558" s="27"/>
      <c r="E558" s="26"/>
      <c r="F558" s="26"/>
      <c r="G558" s="28"/>
      <c r="H558" s="48"/>
      <c r="I558" s="28"/>
      <c r="J558" s="414" t="e">
        <f>SUM(J543:J557)</f>
        <v>#REF!</v>
      </c>
    </row>
    <row r="559" spans="1:10">
      <c r="A559" s="423"/>
      <c r="B559" s="392"/>
      <c r="C559" s="392"/>
      <c r="D559" s="392"/>
      <c r="E559" s="392"/>
      <c r="F559" s="392"/>
      <c r="G559" s="392"/>
      <c r="H559" s="392"/>
      <c r="I559" s="392"/>
      <c r="J559" s="427"/>
    </row>
    <row r="560" spans="1:10">
      <c r="A560" s="411">
        <f>OBSOLETO!C1375</f>
        <v>14</v>
      </c>
      <c r="B560" s="112" t="str">
        <f>OBSOLETO!D1375</f>
        <v>Implantação do Setor 11 - Flamboyant</v>
      </c>
      <c r="C560" s="113"/>
      <c r="D560" s="113"/>
      <c r="E560" s="113"/>
      <c r="F560" s="113"/>
      <c r="G560" s="113"/>
      <c r="H560" s="113"/>
      <c r="I560" s="113"/>
      <c r="J560" s="420"/>
    </row>
    <row r="561" spans="1:10">
      <c r="A561" s="411" t="str">
        <f>OBSOLETO!C1387</f>
        <v>14.1</v>
      </c>
      <c r="B561" s="112" t="str">
        <f>OBSOLETO!D1387</f>
        <v>Sinalização de Segurança</v>
      </c>
      <c r="C561" s="113"/>
      <c r="D561" s="113"/>
      <c r="E561" s="113"/>
      <c r="F561" s="113"/>
      <c r="G561" s="113"/>
      <c r="H561" s="113"/>
      <c r="I561" s="113"/>
      <c r="J561" s="420"/>
    </row>
    <row r="562" spans="1:10">
      <c r="A562" s="27" t="str">
        <f>OBSOLETO!D1389</f>
        <v>14.1.1</v>
      </c>
      <c r="B562" s="108" t="str">
        <f>OBSOLETO!E1389</f>
        <v>Sinalização de tráfego com cerquite</v>
      </c>
      <c r="C562" s="89">
        <f>OBSOLETO!R1397</f>
        <v>2.6666666666666665</v>
      </c>
      <c r="D562" s="89" t="str">
        <f>OBSOLETO!S1397</f>
        <v>m</v>
      </c>
      <c r="E562" s="91" t="s">
        <v>28</v>
      </c>
      <c r="F562" s="114">
        <v>70020005</v>
      </c>
      <c r="G562" s="32">
        <f>G478</f>
        <v>3.46</v>
      </c>
      <c r="H562" s="92">
        <v>0</v>
      </c>
      <c r="I562" s="213">
        <f t="shared" ref="I562:I563" si="244">ROUND(G562*H562,2)</f>
        <v>0</v>
      </c>
      <c r="J562" s="421">
        <f t="shared" ref="J562:J563" si="245">ROUND(IF(ISNUMBER(I562),C562*(G562+I562),C562*G562),2)</f>
        <v>9.23</v>
      </c>
    </row>
    <row r="563" spans="1:10">
      <c r="A563" s="27" t="str">
        <f>OBSOLETO!D1399</f>
        <v>14.1.2</v>
      </c>
      <c r="B563" s="115" t="str">
        <f>OBSOLETO!E1399</f>
        <v>Sinalização luminosa para obras</v>
      </c>
      <c r="C563" s="89">
        <f>OBSOLETO!R1407</f>
        <v>2.6666666666666665</v>
      </c>
      <c r="D563" s="90" t="str">
        <f>OBSOLETO!S1407</f>
        <v>m</v>
      </c>
      <c r="E563" s="91" t="s">
        <v>28</v>
      </c>
      <c r="F563" s="90">
        <v>70020001</v>
      </c>
      <c r="G563" s="32">
        <f>G479</f>
        <v>4.97</v>
      </c>
      <c r="H563" s="92">
        <v>0</v>
      </c>
      <c r="I563" s="213">
        <f t="shared" si="244"/>
        <v>0</v>
      </c>
      <c r="J563" s="421">
        <f t="shared" si="245"/>
        <v>13.25</v>
      </c>
    </row>
    <row r="564" spans="1:10">
      <c r="A564" s="411" t="str">
        <f>OBSOLETO!C1410</f>
        <v>14.2</v>
      </c>
      <c r="B564" s="112" t="str">
        <f>OBSOLETO!D1410</f>
        <v>Preparação do solo, abertura de valas, compactação e recomposição do pavimento</v>
      </c>
      <c r="C564" s="113"/>
      <c r="D564" s="113"/>
      <c r="E564" s="113"/>
      <c r="F564" s="113"/>
      <c r="G564" s="113"/>
      <c r="H564" s="113"/>
      <c r="I564" s="214"/>
      <c r="J564" s="418"/>
    </row>
    <row r="565" spans="1:10">
      <c r="A565" s="90" t="str">
        <f>OBSOLETO!D1412</f>
        <v>14.2.1</v>
      </c>
      <c r="B565" s="47" t="str">
        <f>OBSOLETO!E1412</f>
        <v xml:space="preserve">Definição e demarcação da área de reparo com disco de corte </v>
      </c>
      <c r="C565" s="89">
        <f>OBSOLETO!R1415</f>
        <v>16</v>
      </c>
      <c r="D565" s="90" t="str">
        <f>OBSOLETO!S1415</f>
        <v>m</v>
      </c>
      <c r="E565" s="91" t="s">
        <v>28</v>
      </c>
      <c r="F565" s="90">
        <v>70190008</v>
      </c>
      <c r="G565" s="32">
        <f>G481</f>
        <v>7.51</v>
      </c>
      <c r="H565" s="92">
        <v>0</v>
      </c>
      <c r="I565" s="215">
        <f t="shared" ref="I565:I573" si="246">ROUND(G565*H565,2)</f>
        <v>0</v>
      </c>
      <c r="J565" s="421">
        <f t="shared" ref="J565:J573" si="247">ROUND(IF(ISNUMBER(I565),C565*(G565+I565),C565*G565),2)</f>
        <v>120.16</v>
      </c>
    </row>
    <row r="566" spans="1:10">
      <c r="A566" s="90" t="str">
        <f>OBSOLETO!D1418</f>
        <v>14.2.2</v>
      </c>
      <c r="B566" s="47" t="str">
        <f>OBSOLETO!E1418</f>
        <v>Demolição de Pavimentação Asfáltica com utilização de martelo perfurador, espessura até 15cm, exclusive carga e transporte</v>
      </c>
      <c r="C566" s="89">
        <f>OBSOLETO!R1421</f>
        <v>8</v>
      </c>
      <c r="D566" s="90" t="str">
        <f>OBSOLETO!S1421</f>
        <v>m²</v>
      </c>
      <c r="E566" s="90">
        <v>97636</v>
      </c>
      <c r="F566" s="91" t="s">
        <v>28</v>
      </c>
      <c r="G566" s="32">
        <f t="shared" ref="G566:G573" si="248">G482</f>
        <v>19.64</v>
      </c>
      <c r="H566" s="92">
        <f>BDI!$E$19</f>
        <v>0.24117279049169804</v>
      </c>
      <c r="I566" s="213">
        <f t="shared" si="246"/>
        <v>4.74</v>
      </c>
      <c r="J566" s="421">
        <f t="shared" si="247"/>
        <v>195.04</v>
      </c>
    </row>
    <row r="567" spans="1:10">
      <c r="A567" s="90" t="str">
        <f>OBSOLETO!D1424</f>
        <v>14.2.3</v>
      </c>
      <c r="B567" s="47" t="str">
        <f>OBSOLETO!E1424</f>
        <v>Remoção de entulho inclusive a carga, transporte e descarga em bota fora a qualquer distância</v>
      </c>
      <c r="C567" s="89">
        <f>OBSOLETO!R1426</f>
        <v>0.4</v>
      </c>
      <c r="D567" s="90" t="str">
        <f>OBSOLETO!S1426</f>
        <v>m³</v>
      </c>
      <c r="E567" s="91" t="s">
        <v>28</v>
      </c>
      <c r="F567" s="90">
        <v>70190145</v>
      </c>
      <c r="G567" s="32">
        <f t="shared" si="248"/>
        <v>136.94999999999999</v>
      </c>
      <c r="H567" s="92">
        <v>0</v>
      </c>
      <c r="I567" s="213">
        <f t="shared" si="246"/>
        <v>0</v>
      </c>
      <c r="J567" s="421">
        <f t="shared" si="247"/>
        <v>54.78</v>
      </c>
    </row>
    <row r="568" spans="1:10" ht="25.5">
      <c r="A568" s="90" t="str">
        <f>OBSOLETO!D1429</f>
        <v>14.2.4</v>
      </c>
      <c r="B568" s="47" t="str">
        <f>OBSOLETO!E1429</f>
        <v>Retroescavadeira sobre rodas com carregadeira, Tração 4X4, Potência LÍQ. 88 HP, Caçamba Carreg. Cap. Mín. 1 m³, Caçamba Retro Cap. 0,26 m³, peso operacional mín. 6.674 KG, profundidade de escavação máx. 4,37 m</v>
      </c>
      <c r="C568" s="89">
        <f>OBSOLETO!R1431</f>
        <v>56</v>
      </c>
      <c r="D568" s="90" t="str">
        <f>OBSOLETO!S1431</f>
        <v>CHP</v>
      </c>
      <c r="E568" s="90">
        <v>5678</v>
      </c>
      <c r="F568" s="91" t="s">
        <v>28</v>
      </c>
      <c r="G568" s="32">
        <f t="shared" si="248"/>
        <v>153.33000000000001</v>
      </c>
      <c r="H568" s="92">
        <f>BDI!$E$19</f>
        <v>0.24117279049169804</v>
      </c>
      <c r="I568" s="213">
        <f t="shared" si="246"/>
        <v>36.979999999999997</v>
      </c>
      <c r="J568" s="421">
        <f t="shared" si="247"/>
        <v>10657.36</v>
      </c>
    </row>
    <row r="569" spans="1:10" ht="25.5">
      <c r="A569" s="90" t="str">
        <f>OBSOLETO!D1434</f>
        <v>14.2.5</v>
      </c>
      <c r="B569" s="47" t="str">
        <f>OBSOLETO!E1434</f>
        <v>Retroescavadeira sobre rodas com carregadeira, Tração 4X4, Potência LÍQ. 88 HP, Caçamba Carreg. Cap. Mín. 1 m³, Caçamba Retro Cap. 0,26 m³, peso operacional mín. 6.674 KG, profundidade de escavação máx. 4,37 m</v>
      </c>
      <c r="C569" s="89">
        <f>OBSOLETO!R1436</f>
        <v>14</v>
      </c>
      <c r="D569" s="90" t="str">
        <f>OBSOLETO!S1436</f>
        <v>CHI</v>
      </c>
      <c r="E569" s="90">
        <v>5679</v>
      </c>
      <c r="F569" s="91" t="s">
        <v>28</v>
      </c>
      <c r="G569" s="32">
        <f t="shared" si="248"/>
        <v>65.69</v>
      </c>
      <c r="H569" s="92">
        <f>BDI!$E$19</f>
        <v>0.24117279049169804</v>
      </c>
      <c r="I569" s="213">
        <f t="shared" si="246"/>
        <v>15.84</v>
      </c>
      <c r="J569" s="421">
        <f t="shared" si="247"/>
        <v>1141.42</v>
      </c>
    </row>
    <row r="570" spans="1:10">
      <c r="A570" s="90" t="str">
        <f>OBSOLETO!D1439</f>
        <v>14.2.6</v>
      </c>
      <c r="B570" s="47" t="str">
        <f>OBSOLETO!E1439</f>
        <v>Aterro mecanizado de vala</v>
      </c>
      <c r="C570" s="89">
        <f>OBSOLETO!R1441</f>
        <v>12</v>
      </c>
      <c r="D570" s="90" t="str">
        <f>OBSOLETO!S1441</f>
        <v>m³</v>
      </c>
      <c r="E570" s="90">
        <v>93360</v>
      </c>
      <c r="F570" s="91" t="s">
        <v>28</v>
      </c>
      <c r="G570" s="32">
        <f t="shared" si="248"/>
        <v>24.08</v>
      </c>
      <c r="H570" s="92">
        <f>BDI!$E$19</f>
        <v>0.24117279049169804</v>
      </c>
      <c r="I570" s="213">
        <f t="shared" si="246"/>
        <v>5.81</v>
      </c>
      <c r="J570" s="421">
        <f t="shared" si="247"/>
        <v>358.68</v>
      </c>
    </row>
    <row r="571" spans="1:10">
      <c r="A571" s="90" t="str">
        <f>OBSOLETO!D1444</f>
        <v>14.2.7</v>
      </c>
      <c r="B571" s="47" t="str">
        <f>OBSOLETO!E1444</f>
        <v>Sub-base em brita ou macadame hidráulico (B)</v>
      </c>
      <c r="C571" s="89">
        <f>OBSOLETO!R1447</f>
        <v>1.2</v>
      </c>
      <c r="D571" s="90" t="str">
        <f>OBSOLETO!S1447</f>
        <v>m³</v>
      </c>
      <c r="E571" s="91" t="s">
        <v>28</v>
      </c>
      <c r="F571" s="90">
        <v>70090091</v>
      </c>
      <c r="G571" s="32">
        <f t="shared" si="248"/>
        <v>170.15</v>
      </c>
      <c r="H571" s="92">
        <v>0</v>
      </c>
      <c r="I571" s="213">
        <f t="shared" si="246"/>
        <v>0</v>
      </c>
      <c r="J571" s="421">
        <f t="shared" si="247"/>
        <v>204.18</v>
      </c>
    </row>
    <row r="572" spans="1:10">
      <c r="A572" s="90" t="str">
        <f>OBSOLETO!D1450</f>
        <v>14.2.8</v>
      </c>
      <c r="B572" s="47" t="str">
        <f>OBSOLETO!E1450</f>
        <v>Pintura de ligação em emulsão RR-2C</v>
      </c>
      <c r="C572" s="89">
        <f>OBSOLETO!R1452</f>
        <v>8</v>
      </c>
      <c r="D572" s="90" t="str">
        <f>OBSOLETO!S1452</f>
        <v>m²</v>
      </c>
      <c r="E572" s="91" t="s">
        <v>28</v>
      </c>
      <c r="F572" s="90">
        <v>70090093</v>
      </c>
      <c r="G572" s="32">
        <f t="shared" si="248"/>
        <v>20.74</v>
      </c>
      <c r="H572" s="92">
        <v>0</v>
      </c>
      <c r="I572" s="213">
        <f t="shared" si="246"/>
        <v>0</v>
      </c>
      <c r="J572" s="421">
        <f t="shared" si="247"/>
        <v>165.92</v>
      </c>
    </row>
    <row r="573" spans="1:10">
      <c r="A573" s="90" t="str">
        <f>OBSOLETO!D1455</f>
        <v>14.2.9</v>
      </c>
      <c r="B573" s="47" t="str">
        <f>OBSOLETO!E1455</f>
        <v>Capa de concreto asfáltico (B) (e=5cm)</v>
      </c>
      <c r="C573" s="89">
        <f>OBSOLETO!R1458</f>
        <v>0.4</v>
      </c>
      <c r="D573" s="90" t="str">
        <f>OBSOLETO!S1458</f>
        <v>m³</v>
      </c>
      <c r="E573" s="91" t="s">
        <v>28</v>
      </c>
      <c r="F573" s="90">
        <v>70090095</v>
      </c>
      <c r="G573" s="32">
        <f t="shared" si="248"/>
        <v>2117.17</v>
      </c>
      <c r="H573" s="92">
        <v>0</v>
      </c>
      <c r="I573" s="213">
        <f t="shared" si="246"/>
        <v>0</v>
      </c>
      <c r="J573" s="421">
        <f t="shared" si="247"/>
        <v>846.87</v>
      </c>
    </row>
    <row r="574" spans="1:10">
      <c r="A574" s="411" t="s">
        <v>666</v>
      </c>
      <c r="B574" s="112" t="s">
        <v>1141</v>
      </c>
      <c r="C574" s="113"/>
      <c r="D574" s="113"/>
      <c r="E574" s="113"/>
      <c r="F574" s="113"/>
      <c r="G574" s="113"/>
      <c r="H574" s="113"/>
      <c r="I574" s="214"/>
      <c r="J574" s="418"/>
    </row>
    <row r="575" spans="1:10">
      <c r="A575" s="90" t="s">
        <v>667</v>
      </c>
      <c r="B575" s="192" t="s">
        <v>322</v>
      </c>
      <c r="C575" s="193">
        <v>2</v>
      </c>
      <c r="D575" s="90" t="s">
        <v>987</v>
      </c>
      <c r="E575" s="90">
        <v>3826</v>
      </c>
      <c r="F575" s="91" t="s">
        <v>28</v>
      </c>
      <c r="G575" s="255">
        <v>55.1</v>
      </c>
      <c r="H575" s="92">
        <f>BDI!$E$35</f>
        <v>0.14012827909185233</v>
      </c>
      <c r="I575" s="213">
        <f t="shared" ref="I575:I576" si="249">ROUND(G575*H575,2)</f>
        <v>7.72</v>
      </c>
      <c r="J575" s="421">
        <f t="shared" ref="J575:J576" si="250">ROUND(IF(ISNUMBER(I575),C575*(G575+I575),C575*G575),2)</f>
        <v>125.64</v>
      </c>
    </row>
    <row r="576" spans="1:10">
      <c r="A576" s="90" t="s">
        <v>668</v>
      </c>
      <c r="B576" s="192" t="s">
        <v>323</v>
      </c>
      <c r="C576" s="193">
        <v>2</v>
      </c>
      <c r="D576" s="90" t="s">
        <v>987</v>
      </c>
      <c r="E576" s="90">
        <v>3825</v>
      </c>
      <c r="F576" s="91" t="s">
        <v>28</v>
      </c>
      <c r="G576" s="32">
        <v>15.85</v>
      </c>
      <c r="H576" s="92">
        <f>BDI!$E$35</f>
        <v>0.14012827909185233</v>
      </c>
      <c r="I576" s="213">
        <f t="shared" si="249"/>
        <v>2.2200000000000002</v>
      </c>
      <c r="J576" s="421">
        <f t="shared" si="250"/>
        <v>36.14</v>
      </c>
    </row>
    <row r="577" spans="1:10">
      <c r="A577" s="90" t="s">
        <v>669</v>
      </c>
      <c r="B577" s="192" t="s">
        <v>221</v>
      </c>
      <c r="C577" s="193">
        <v>1</v>
      </c>
      <c r="D577" s="90" t="s">
        <v>987</v>
      </c>
      <c r="E577" s="90">
        <v>11321</v>
      </c>
      <c r="F577" s="91" t="s">
        <v>28</v>
      </c>
      <c r="G577" s="255">
        <v>31.09</v>
      </c>
      <c r="H577" s="92">
        <f>BDI!$E$35</f>
        <v>0.14012827909185233</v>
      </c>
      <c r="I577" s="213">
        <f t="shared" ref="I577:I580" si="251">ROUND(G577*H577,2)</f>
        <v>4.3600000000000003</v>
      </c>
      <c r="J577" s="421">
        <f t="shared" ref="J577:J580" si="252">ROUND(IF(ISNUMBER(I577),C577*(G577+I577),C577*G577),2)</f>
        <v>35.450000000000003</v>
      </c>
    </row>
    <row r="578" spans="1:10" ht="25.5">
      <c r="A578" s="90" t="s">
        <v>670</v>
      </c>
      <c r="B578" s="25" t="s">
        <v>261</v>
      </c>
      <c r="C578" s="93">
        <v>1</v>
      </c>
      <c r="D578" s="90" t="s">
        <v>987</v>
      </c>
      <c r="E578" s="936" t="s">
        <v>183</v>
      </c>
      <c r="F578" s="937"/>
      <c r="G578" s="255" t="e">
        <f>#REF!</f>
        <v>#REF!</v>
      </c>
      <c r="H578" s="126">
        <f>BDI!$E$35</f>
        <v>0.14012827909185233</v>
      </c>
      <c r="I578" s="215" t="e">
        <f t="shared" si="251"/>
        <v>#REF!</v>
      </c>
      <c r="J578" s="421" t="e">
        <f t="shared" si="252"/>
        <v>#REF!</v>
      </c>
    </row>
    <row r="579" spans="1:10">
      <c r="A579" s="90" t="s">
        <v>671</v>
      </c>
      <c r="B579" s="192" t="s">
        <v>227</v>
      </c>
      <c r="C579" s="193">
        <v>1</v>
      </c>
      <c r="D579" s="90" t="s">
        <v>987</v>
      </c>
      <c r="E579" s="90">
        <v>41892</v>
      </c>
      <c r="F579" s="91" t="s">
        <v>28</v>
      </c>
      <c r="G579" s="255">
        <v>122.38</v>
      </c>
      <c r="H579" s="92">
        <f>BDI!$E$35</f>
        <v>0.14012827909185233</v>
      </c>
      <c r="I579" s="213">
        <f t="shared" si="251"/>
        <v>17.149999999999999</v>
      </c>
      <c r="J579" s="421">
        <f t="shared" si="252"/>
        <v>139.53</v>
      </c>
    </row>
    <row r="580" spans="1:10">
      <c r="A580" s="90" t="s">
        <v>672</v>
      </c>
      <c r="B580" s="192" t="s">
        <v>230</v>
      </c>
      <c r="C580" s="193">
        <v>35</v>
      </c>
      <c r="D580" s="90" t="s">
        <v>0</v>
      </c>
      <c r="E580" s="90">
        <v>36380</v>
      </c>
      <c r="F580" s="91" t="s">
        <v>28</v>
      </c>
      <c r="G580" s="32">
        <v>89.16</v>
      </c>
      <c r="H580" s="92">
        <f>BDI!$E$35</f>
        <v>0.14012827909185233</v>
      </c>
      <c r="I580" s="213">
        <f t="shared" si="251"/>
        <v>12.49</v>
      </c>
      <c r="J580" s="421">
        <f t="shared" si="252"/>
        <v>3557.75</v>
      </c>
    </row>
    <row r="581" spans="1:10">
      <c r="A581" s="411" t="str">
        <f>OBSOLETO!C1461</f>
        <v>14.4</v>
      </c>
      <c r="B581" s="112" t="str">
        <f>OBSOLETO!D1461</f>
        <v>Construção de caixa abrigo para o Registro de Gaveta</v>
      </c>
      <c r="C581" s="113"/>
      <c r="D581" s="113"/>
      <c r="E581" s="113"/>
      <c r="F581" s="113"/>
      <c r="G581" s="113"/>
      <c r="H581" s="113"/>
      <c r="I581" s="214"/>
      <c r="J581" s="418"/>
    </row>
    <row r="582" spans="1:10">
      <c r="A582" s="27" t="str">
        <f>OBSOLETO!D1463</f>
        <v>14.4.1</v>
      </c>
      <c r="B582" s="124" t="str">
        <f>OBSOLETO!E1463</f>
        <v>Tubo PVC DEFOFO, JEI, 1 MPA, DN 200 mm, para rede de água (NBR 7665) (Acesso aos registros)</v>
      </c>
      <c r="C582" s="93">
        <f>OBSOLETO!R1463</f>
        <v>1.5</v>
      </c>
      <c r="D582" s="394" t="str">
        <f>OBSOLETO!S1463</f>
        <v>m</v>
      </c>
      <c r="E582" s="128">
        <v>9829</v>
      </c>
      <c r="F582" s="125" t="s">
        <v>28</v>
      </c>
      <c r="G582" s="255">
        <f>G159</f>
        <v>226.2</v>
      </c>
      <c r="H582" s="126">
        <v>0.16769197716658035</v>
      </c>
      <c r="I582" s="215">
        <f t="shared" ref="I582:I587" si="253">ROUND(G582*H582,2)</f>
        <v>37.93</v>
      </c>
      <c r="J582" s="422">
        <f t="shared" ref="J582:J587" si="254">ROUND(IF(ISNUMBER(I582),C582*(G582+I582),C582*G582),2)</f>
        <v>396.2</v>
      </c>
    </row>
    <row r="583" spans="1:10">
      <c r="A583" s="27" t="str">
        <f>OBSOLETO!D1464</f>
        <v>14.4.2</v>
      </c>
      <c r="B583" s="124" t="str">
        <f>OBSOLETO!E1464</f>
        <v>Tampão T5 FoFo DN=100mm com tampa articulada para válvula NTS 033</v>
      </c>
      <c r="C583" s="93">
        <f>OBSOLETO!R1464</f>
        <v>1</v>
      </c>
      <c r="D583" s="394" t="str">
        <f>OBSOLETO!S1464</f>
        <v>Und</v>
      </c>
      <c r="E583" s="125" t="s">
        <v>28</v>
      </c>
      <c r="F583" s="125" t="s">
        <v>169</v>
      </c>
      <c r="G583" s="255">
        <f t="shared" ref="G583:G587" si="255">G160</f>
        <v>97.43</v>
      </c>
      <c r="H583" s="126">
        <v>0</v>
      </c>
      <c r="I583" s="215">
        <f t="shared" si="253"/>
        <v>0</v>
      </c>
      <c r="J583" s="422">
        <f t="shared" si="254"/>
        <v>97.43</v>
      </c>
    </row>
    <row r="584" spans="1:10">
      <c r="A584" s="27" t="str">
        <f>OBSOLETO!D1465</f>
        <v>14.4.3</v>
      </c>
      <c r="B584" s="124" t="str">
        <f>OBSOLETO!E1465</f>
        <v>Dispositivo de proteção para registro com assentamento de tampa T-5, sem fornecimento</v>
      </c>
      <c r="C584" s="93">
        <f>OBSOLETO!R1465</f>
        <v>1</v>
      </c>
      <c r="D584" s="394" t="str">
        <f>OBSOLETO!S1465</f>
        <v>Und</v>
      </c>
      <c r="E584" s="125" t="s">
        <v>28</v>
      </c>
      <c r="F584" s="128">
        <v>70070342</v>
      </c>
      <c r="G584" s="255">
        <f t="shared" si="255"/>
        <v>296.7</v>
      </c>
      <c r="H584" s="126">
        <v>0</v>
      </c>
      <c r="I584" s="215">
        <f t="shared" si="253"/>
        <v>0</v>
      </c>
      <c r="J584" s="422">
        <f t="shared" si="254"/>
        <v>296.7</v>
      </c>
    </row>
    <row r="585" spans="1:10">
      <c r="A585" s="27" t="str">
        <f>OBSOLETO!D1466</f>
        <v>14.4.4</v>
      </c>
      <c r="B585" s="124" t="str">
        <f>OBSOLETO!E1466</f>
        <v>Concreto Estrutural, Fck=25,0MPa</v>
      </c>
      <c r="C585" s="93">
        <f>OBSOLETO!R1466</f>
        <v>3.7499999999999999E-2</v>
      </c>
      <c r="D585" s="394" t="str">
        <f>OBSOLETO!S1466</f>
        <v>m³</v>
      </c>
      <c r="E585" s="125" t="s">
        <v>28</v>
      </c>
      <c r="F585" s="128">
        <v>70070145</v>
      </c>
      <c r="G585" s="255">
        <f t="shared" si="255"/>
        <v>694.13</v>
      </c>
      <c r="H585" s="126">
        <v>0</v>
      </c>
      <c r="I585" s="215">
        <f t="shared" si="253"/>
        <v>0</v>
      </c>
      <c r="J585" s="422">
        <f t="shared" si="254"/>
        <v>26.03</v>
      </c>
    </row>
    <row r="586" spans="1:10">
      <c r="A586" s="27" t="str">
        <f>OBSOLETO!D1467</f>
        <v>14.4.5</v>
      </c>
      <c r="B586" s="124" t="str">
        <f>OBSOLETO!E1467</f>
        <v>Fôrma de Madeira - Comum</v>
      </c>
      <c r="C586" s="93">
        <f>OBSOLETO!R1467</f>
        <v>0.3</v>
      </c>
      <c r="D586" s="394" t="str">
        <f>OBSOLETO!S1467</f>
        <v>m²</v>
      </c>
      <c r="E586" s="125" t="s">
        <v>28</v>
      </c>
      <c r="F586" s="128">
        <v>70070126</v>
      </c>
      <c r="G586" s="255">
        <f t="shared" si="255"/>
        <v>96.1</v>
      </c>
      <c r="H586" s="126">
        <v>0</v>
      </c>
      <c r="I586" s="215">
        <f t="shared" si="253"/>
        <v>0</v>
      </c>
      <c r="J586" s="422">
        <f t="shared" si="254"/>
        <v>28.83</v>
      </c>
    </row>
    <row r="587" spans="1:10">
      <c r="A587" s="27" t="str">
        <f>OBSOLETO!D1468</f>
        <v>14.4.6</v>
      </c>
      <c r="B587" s="124" t="str">
        <f>OBSOLETO!E1468</f>
        <v>Armação em Aço CA-50</v>
      </c>
      <c r="C587" s="93">
        <f>OBSOLETO!R1468</f>
        <v>24</v>
      </c>
      <c r="D587" s="394" t="str">
        <f>OBSOLETO!S1468</f>
        <v>kg</v>
      </c>
      <c r="E587" s="125" t="s">
        <v>28</v>
      </c>
      <c r="F587" s="128">
        <v>70070135</v>
      </c>
      <c r="G587" s="255">
        <f t="shared" si="255"/>
        <v>19.829999999999998</v>
      </c>
      <c r="H587" s="126">
        <v>0</v>
      </c>
      <c r="I587" s="215">
        <f t="shared" si="253"/>
        <v>0</v>
      </c>
      <c r="J587" s="422">
        <f t="shared" si="254"/>
        <v>475.92</v>
      </c>
    </row>
    <row r="588" spans="1:10">
      <c r="A588" s="411" t="str">
        <f>OBSOLETO!C1470</f>
        <v>14.5</v>
      </c>
      <c r="B588" s="112" t="str">
        <f>OBSOLETO!D1470</f>
        <v>Ancoragens</v>
      </c>
      <c r="C588" s="113"/>
      <c r="D588" s="113"/>
      <c r="E588" s="113"/>
      <c r="F588" s="113"/>
      <c r="G588" s="113"/>
      <c r="H588" s="113"/>
      <c r="I588" s="214"/>
      <c r="J588" s="418"/>
    </row>
    <row r="589" spans="1:10">
      <c r="A589" s="27" t="str">
        <f>OBSOLETO!D1472</f>
        <v>14.5.1</v>
      </c>
      <c r="B589" s="131" t="str">
        <f>OBSOLETO!E1472</f>
        <v>Ancoragem em Pontalete de Madeira DN50, 80 e 100 mm</v>
      </c>
      <c r="C589" s="127">
        <f>OBSOLETO!R1472</f>
        <v>2</v>
      </c>
      <c r="D589" s="394" t="str">
        <f>OBSOLETO!S1472</f>
        <v>Und</v>
      </c>
      <c r="E589" s="125" t="s">
        <v>28</v>
      </c>
      <c r="F589" s="128">
        <v>70070090</v>
      </c>
      <c r="G589" s="388">
        <f>G308</f>
        <v>66.62</v>
      </c>
      <c r="H589" s="126">
        <v>0</v>
      </c>
      <c r="I589" s="215">
        <f t="shared" ref="I589" si="256">ROUND(G589*H589,2)</f>
        <v>0</v>
      </c>
      <c r="J589" s="422">
        <f t="shared" ref="J589" si="257">ROUND(IF(ISNUMBER(I589),C589*(G589+I589),C589*G589),2)</f>
        <v>133.24</v>
      </c>
    </row>
    <row r="590" spans="1:10">
      <c r="A590" s="411" t="str">
        <f>OBSOLETO!C1475</f>
        <v>14.6</v>
      </c>
      <c r="B590" s="112" t="str">
        <f>OBSOLETO!D1475</f>
        <v>Serviços Hidráulicos</v>
      </c>
      <c r="C590" s="113"/>
      <c r="D590" s="113"/>
      <c r="E590" s="113"/>
      <c r="F590" s="113"/>
      <c r="G590" s="113"/>
      <c r="H590" s="113"/>
      <c r="I590" s="214"/>
      <c r="J590" s="418"/>
    </row>
    <row r="591" spans="1:10">
      <c r="A591" s="90" t="str">
        <f>OBSOLETO!D1489</f>
        <v>14.6.1</v>
      </c>
      <c r="B591" s="109" t="str">
        <f>OBSOLETO!E1489</f>
        <v>Engenheiro Civil de obras com Encargos Complementares 1 h/intervenção x Quantidade de Intervenções</v>
      </c>
      <c r="C591" s="89">
        <f>OBSOLETO!R1489</f>
        <v>2</v>
      </c>
      <c r="D591" s="90" t="str">
        <f>OBSOLETO!S1489</f>
        <v>H</v>
      </c>
      <c r="E591" s="90">
        <v>90778</v>
      </c>
      <c r="F591" s="91" t="s">
        <v>28</v>
      </c>
      <c r="G591" s="32">
        <f>G253</f>
        <v>127.08</v>
      </c>
      <c r="H591" s="92">
        <v>0.2639754597701145</v>
      </c>
      <c r="I591" s="213">
        <v>33.549999999999997</v>
      </c>
      <c r="J591" s="421">
        <v>3051.97</v>
      </c>
    </row>
    <row r="592" spans="1:10">
      <c r="A592" s="90" t="str">
        <f>OBSOLETO!D1490</f>
        <v>14.6.2</v>
      </c>
      <c r="B592" s="109" t="str">
        <f>OBSOLETO!E1490</f>
        <v>Encarregado Geral com Encargos Complementares 2 h/intervenção x Quantidade de Intervenções</v>
      </c>
      <c r="C592" s="89">
        <f>OBSOLETO!R1490</f>
        <v>4</v>
      </c>
      <c r="D592" s="90" t="str">
        <f>OBSOLETO!S1490</f>
        <v>H</v>
      </c>
      <c r="E592" s="90">
        <v>90776</v>
      </c>
      <c r="F592" s="91" t="s">
        <v>28</v>
      </c>
      <c r="G592" s="32">
        <f t="shared" ref="G592:G596" si="258">G254</f>
        <v>38.46</v>
      </c>
      <c r="H592" s="92">
        <v>0.2639754597701145</v>
      </c>
      <c r="I592" s="213">
        <v>10.15</v>
      </c>
      <c r="J592" s="421">
        <v>3013.82</v>
      </c>
    </row>
    <row r="593" spans="1:10">
      <c r="A593" s="90" t="str">
        <f>OBSOLETO!D1491</f>
        <v>14.6.3</v>
      </c>
      <c r="B593" s="109" t="str">
        <f>OBSOLETO!E1491</f>
        <v>Encanador com Encargos Complementares 8 h/intervenção x Quantidade de Intervenções</v>
      </c>
      <c r="C593" s="89">
        <f>OBSOLETO!R1491</f>
        <v>16</v>
      </c>
      <c r="D593" s="90" t="str">
        <f>OBSOLETO!S1491</f>
        <v>H</v>
      </c>
      <c r="E593" s="90">
        <v>88267</v>
      </c>
      <c r="F593" s="91" t="s">
        <v>28</v>
      </c>
      <c r="G593" s="32">
        <f t="shared" si="258"/>
        <v>32.049999999999997</v>
      </c>
      <c r="H593" s="92">
        <v>0.2639754597701145</v>
      </c>
      <c r="I593" s="213">
        <v>8.4600000000000009</v>
      </c>
      <c r="J593" s="421">
        <v>6157.52</v>
      </c>
    </row>
    <row r="594" spans="1:10">
      <c r="A594" s="90" t="str">
        <f>OBSOLETO!D1492</f>
        <v>14.6.4</v>
      </c>
      <c r="B594" s="109" t="str">
        <f>OBSOLETO!E1492</f>
        <v>Auxiliar de encanador com Encargos Complementares 8 h/intervenção x Quantidade de Intervenções</v>
      </c>
      <c r="C594" s="89">
        <f>OBSOLETO!R1492</f>
        <v>16</v>
      </c>
      <c r="D594" s="90" t="str">
        <f>OBSOLETO!S1492</f>
        <v>H</v>
      </c>
      <c r="E594" s="90">
        <v>88248</v>
      </c>
      <c r="F594" s="91" t="s">
        <v>28</v>
      </c>
      <c r="G594" s="32">
        <f t="shared" si="258"/>
        <v>27.57</v>
      </c>
      <c r="H594" s="92">
        <v>0.2639754597701145</v>
      </c>
      <c r="I594" s="213">
        <v>7.28</v>
      </c>
      <c r="J594" s="421">
        <v>5297.2</v>
      </c>
    </row>
    <row r="595" spans="1:10">
      <c r="A595" s="90" t="str">
        <f>OBSOLETO!D1493</f>
        <v>14.6.5</v>
      </c>
      <c r="B595" s="109" t="str">
        <f>OBSOLETO!E1493</f>
        <v>Pedreiro com encargos complementares 4h/caixa abrigo x Quantidade de Caixa abrigo</v>
      </c>
      <c r="C595" s="89">
        <f>OBSOLETO!R1493</f>
        <v>4</v>
      </c>
      <c r="D595" s="90" t="str">
        <f>OBSOLETO!S1493</f>
        <v>H</v>
      </c>
      <c r="E595" s="90">
        <v>88309</v>
      </c>
      <c r="F595" s="91" t="s">
        <v>28</v>
      </c>
      <c r="G595" s="32">
        <f t="shared" si="258"/>
        <v>30.54</v>
      </c>
      <c r="H595" s="92">
        <v>0.2639754597701145</v>
      </c>
      <c r="I595" s="213">
        <v>8.06</v>
      </c>
      <c r="J595" s="421">
        <v>2161.6</v>
      </c>
    </row>
    <row r="596" spans="1:10">
      <c r="A596" s="90" t="str">
        <f>OBSOLETO!D1494</f>
        <v>14.6.6</v>
      </c>
      <c r="B596" s="109" t="str">
        <f>OBSOLETO!E1494</f>
        <v>Aj. de Pedreiro com encargos complementares 4 h/caixa abrigo x Quantidade de Caixa abrigo</v>
      </c>
      <c r="C596" s="89">
        <f>OBSOLETO!R1494</f>
        <v>4</v>
      </c>
      <c r="D596" s="90" t="str">
        <f>OBSOLETO!S1494</f>
        <v>H</v>
      </c>
      <c r="E596" s="90">
        <v>88242</v>
      </c>
      <c r="F596" s="91" t="s">
        <v>28</v>
      </c>
      <c r="G596" s="32">
        <f t="shared" si="258"/>
        <v>26.35</v>
      </c>
      <c r="H596" s="92">
        <v>0.2639754597701145</v>
      </c>
      <c r="I596" s="213">
        <v>6.96</v>
      </c>
      <c r="J596" s="421">
        <v>1865.36</v>
      </c>
    </row>
    <row r="597" spans="1:10">
      <c r="A597" s="411" t="str">
        <f>OBSOLETO!C1497</f>
        <v>14.7</v>
      </c>
      <c r="B597" s="112" t="str">
        <f>OBSOLETO!D1497</f>
        <v>Serviços Finais</v>
      </c>
      <c r="C597" s="113"/>
      <c r="D597" s="113"/>
      <c r="E597" s="113"/>
      <c r="F597" s="113"/>
      <c r="G597" s="113"/>
      <c r="H597" s="113"/>
      <c r="I597" s="214"/>
      <c r="J597" s="418"/>
    </row>
    <row r="598" spans="1:10">
      <c r="A598" s="27" t="str">
        <f>OBSOLETO!D1499</f>
        <v>14.7.1</v>
      </c>
      <c r="B598" s="108" t="str">
        <f>OBSOLETO!E1499</f>
        <v>Limpeza Final de Obra</v>
      </c>
      <c r="C598" s="89">
        <f>OBSOLETO!R1501</f>
        <v>8</v>
      </c>
      <c r="D598" s="90" t="str">
        <f>OBSOLETO!S1501</f>
        <v>m²</v>
      </c>
      <c r="E598" s="91" t="s">
        <v>28</v>
      </c>
      <c r="F598" s="90">
        <v>70190144</v>
      </c>
      <c r="G598" s="32">
        <f>G499</f>
        <v>12.01</v>
      </c>
      <c r="H598" s="92">
        <v>0</v>
      </c>
      <c r="I598" s="216">
        <f t="shared" ref="I598" si="259">ROUND(G598*H598,2)</f>
        <v>0</v>
      </c>
      <c r="J598" s="421">
        <f t="shared" ref="J598" si="260">ROUND(IF(ISNUMBER(I598),C598*(G598+I598),C598*G598),2)</f>
        <v>96.08</v>
      </c>
    </row>
    <row r="599" spans="1:10">
      <c r="A599" s="27"/>
      <c r="B599" s="2" t="s">
        <v>326</v>
      </c>
      <c r="C599" s="30"/>
      <c r="D599" s="27"/>
      <c r="E599" s="26"/>
      <c r="F599" s="26"/>
      <c r="G599" s="28"/>
      <c r="H599" s="48"/>
      <c r="I599" s="28"/>
      <c r="J599" s="414" t="e">
        <f>SUM(J562:J598)</f>
        <v>#REF!</v>
      </c>
    </row>
    <row r="600" spans="1:10">
      <c r="A600" s="423"/>
      <c r="B600" s="392"/>
      <c r="C600" s="392"/>
      <c r="D600" s="392"/>
      <c r="E600" s="392"/>
      <c r="F600" s="392"/>
      <c r="G600" s="392"/>
      <c r="H600" s="392"/>
      <c r="I600" s="392"/>
      <c r="J600" s="427"/>
    </row>
    <row r="601" spans="1:10">
      <c r="A601" s="411">
        <v>15</v>
      </c>
      <c r="B601" s="112" t="s">
        <v>1152</v>
      </c>
      <c r="C601" s="113"/>
      <c r="D601" s="113"/>
      <c r="E601" s="113"/>
      <c r="F601" s="113"/>
      <c r="G601" s="113"/>
      <c r="H601" s="113"/>
      <c r="I601" s="113"/>
      <c r="J601" s="420"/>
    </row>
    <row r="602" spans="1:10">
      <c r="A602" s="411" t="s">
        <v>701</v>
      </c>
      <c r="B602" s="112" t="s">
        <v>356</v>
      </c>
      <c r="C602" s="113"/>
      <c r="D602" s="113"/>
      <c r="E602" s="113"/>
      <c r="F602" s="113"/>
      <c r="G602" s="113"/>
      <c r="H602" s="113"/>
      <c r="I602" s="113"/>
      <c r="J602" s="420"/>
    </row>
    <row r="603" spans="1:10">
      <c r="A603" s="27" t="s">
        <v>702</v>
      </c>
      <c r="B603" s="47" t="s">
        <v>754</v>
      </c>
      <c r="C603" s="30">
        <v>1</v>
      </c>
      <c r="D603" s="27" t="s">
        <v>987</v>
      </c>
      <c r="E603" s="936" t="s">
        <v>183</v>
      </c>
      <c r="F603" s="937"/>
      <c r="G603" s="255" t="e">
        <f>#REF!</f>
        <v>#REF!</v>
      </c>
      <c r="H603" s="42">
        <f>BDI!$E$35</f>
        <v>0.14012827909185233</v>
      </c>
      <c r="I603" s="49" t="e">
        <f t="shared" ref="I603:I607" si="261">ROUND(G603*H603,2)</f>
        <v>#REF!</v>
      </c>
      <c r="J603" s="313" t="e">
        <f t="shared" ref="J603:J607" si="262">ROUND(IF(ISNUMBER(I603),C603*(G603+I603),C603*G603),2)</f>
        <v>#REF!</v>
      </c>
    </row>
    <row r="604" spans="1:10">
      <c r="A604" s="27" t="s">
        <v>707</v>
      </c>
      <c r="B604" s="47" t="s">
        <v>368</v>
      </c>
      <c r="C604" s="30">
        <v>2</v>
      </c>
      <c r="D604" s="27" t="s">
        <v>987</v>
      </c>
      <c r="E604" s="26" t="s">
        <v>28</v>
      </c>
      <c r="F604" s="26" t="s">
        <v>367</v>
      </c>
      <c r="G604" s="255">
        <v>329.75</v>
      </c>
      <c r="H604" s="42">
        <v>0</v>
      </c>
      <c r="I604" s="49">
        <f t="shared" si="261"/>
        <v>0</v>
      </c>
      <c r="J604" s="313">
        <f t="shared" si="262"/>
        <v>659.5</v>
      </c>
    </row>
    <row r="605" spans="1:10">
      <c r="A605" s="27" t="s">
        <v>708</v>
      </c>
      <c r="B605" s="47" t="s">
        <v>370</v>
      </c>
      <c r="C605" s="30">
        <v>2</v>
      </c>
      <c r="D605" s="27" t="s">
        <v>987</v>
      </c>
      <c r="E605" s="26" t="s">
        <v>28</v>
      </c>
      <c r="F605" s="26" t="s">
        <v>369</v>
      </c>
      <c r="G605" s="255">
        <v>573.39</v>
      </c>
      <c r="H605" s="42">
        <v>0</v>
      </c>
      <c r="I605" s="49">
        <f t="shared" si="261"/>
        <v>0</v>
      </c>
      <c r="J605" s="313">
        <f t="shared" si="262"/>
        <v>1146.78</v>
      </c>
    </row>
    <row r="606" spans="1:10">
      <c r="A606" s="27" t="s">
        <v>709</v>
      </c>
      <c r="B606" s="47" t="s">
        <v>372</v>
      </c>
      <c r="C606" s="30">
        <v>2</v>
      </c>
      <c r="D606" s="27" t="s">
        <v>987</v>
      </c>
      <c r="E606" s="26" t="s">
        <v>28</v>
      </c>
      <c r="F606" s="26" t="s">
        <v>371</v>
      </c>
      <c r="G606" s="255">
        <v>377.92</v>
      </c>
      <c r="H606" s="42">
        <v>0</v>
      </c>
      <c r="I606" s="49">
        <f t="shared" si="261"/>
        <v>0</v>
      </c>
      <c r="J606" s="313">
        <f t="shared" si="262"/>
        <v>755.84</v>
      </c>
    </row>
    <row r="607" spans="1:10">
      <c r="A607" s="27" t="s">
        <v>710</v>
      </c>
      <c r="B607" s="47" t="s">
        <v>373</v>
      </c>
      <c r="C607" s="30">
        <v>2</v>
      </c>
      <c r="D607" s="27" t="s">
        <v>987</v>
      </c>
      <c r="E607" s="26" t="s">
        <v>28</v>
      </c>
      <c r="F607" s="26" t="s">
        <v>374</v>
      </c>
      <c r="G607" s="255">
        <v>28.64</v>
      </c>
      <c r="H607" s="42">
        <v>0</v>
      </c>
      <c r="I607" s="49">
        <f t="shared" si="261"/>
        <v>0</v>
      </c>
      <c r="J607" s="313">
        <f t="shared" si="262"/>
        <v>57.28</v>
      </c>
    </row>
    <row r="608" spans="1:10">
      <c r="A608" s="411" t="str">
        <f>OBSOLETO!C1506</f>
        <v>15.2</v>
      </c>
      <c r="B608" s="112" t="str">
        <f>OBSOLETO!D1506</f>
        <v>Macromedidor do Poço - Instalação</v>
      </c>
      <c r="C608" s="113"/>
      <c r="D608" s="113"/>
      <c r="E608" s="113"/>
      <c r="F608" s="113"/>
      <c r="G608" s="113"/>
      <c r="H608" s="113"/>
      <c r="I608" s="113"/>
      <c r="J608" s="420"/>
    </row>
    <row r="609" spans="1:10">
      <c r="A609" s="413" t="str">
        <f>OBSOLETO!D1507</f>
        <v>15.2.1</v>
      </c>
      <c r="B609" s="109" t="str">
        <f>OBSOLETO!E1507</f>
        <v>Engenheiro Civil de obras com Encargos Complementares 4 h/dia x 2 dias</v>
      </c>
      <c r="C609" s="30">
        <f>OBSOLETO!R1507</f>
        <v>8</v>
      </c>
      <c r="D609" s="27" t="str">
        <f>OBSOLETO!S1507</f>
        <v>H</v>
      </c>
      <c r="E609" s="26" t="s">
        <v>1111</v>
      </c>
      <c r="F609" s="26" t="s">
        <v>28</v>
      </c>
      <c r="G609" s="255">
        <f>G549</f>
        <v>127.08</v>
      </c>
      <c r="H609" s="33">
        <f>BDI!$E$19</f>
        <v>0.24117279049169804</v>
      </c>
      <c r="I609" s="95">
        <f t="shared" ref="I609:I613" si="263">ROUND(G609*H609,2)</f>
        <v>30.65</v>
      </c>
      <c r="J609" s="313">
        <f t="shared" ref="J609:J613" si="264">ROUND(IF(ISNUMBER(I609),C609*(G609+I609),C609*G609),2)</f>
        <v>1261.8399999999999</v>
      </c>
    </row>
    <row r="610" spans="1:10">
      <c r="A610" s="413" t="str">
        <f>OBSOLETO!D1508</f>
        <v>15.2.2</v>
      </c>
      <c r="B610" s="109" t="str">
        <f>OBSOLETO!E1508</f>
        <v>Encarregado Geral com Encargos Complementares 8 h/dia x 2 dias</v>
      </c>
      <c r="C610" s="30">
        <f>OBSOLETO!R1508</f>
        <v>16</v>
      </c>
      <c r="D610" s="27" t="str">
        <f>OBSOLETO!S1508</f>
        <v>H</v>
      </c>
      <c r="E610" s="26" t="s">
        <v>1113</v>
      </c>
      <c r="F610" s="26" t="s">
        <v>28</v>
      </c>
      <c r="G610" s="255">
        <f t="shared" ref="G610:G613" si="265">G550</f>
        <v>38.46</v>
      </c>
      <c r="H610" s="33">
        <f>BDI!$E$19</f>
        <v>0.24117279049169804</v>
      </c>
      <c r="I610" s="95">
        <f t="shared" si="263"/>
        <v>9.2799999999999994</v>
      </c>
      <c r="J610" s="313">
        <f t="shared" si="264"/>
        <v>763.84</v>
      </c>
    </row>
    <row r="611" spans="1:10">
      <c r="A611" s="413" t="str">
        <f>OBSOLETO!D1509</f>
        <v>15.2.3</v>
      </c>
      <c r="B611" s="109" t="str">
        <f>OBSOLETO!E1509</f>
        <v>Encanador com Encargos Complementares 8 h/dia x 2 dias x 1 profiss.</v>
      </c>
      <c r="C611" s="30">
        <f>OBSOLETO!R1509</f>
        <v>16</v>
      </c>
      <c r="D611" s="27" t="str">
        <f>OBSOLETO!S1509</f>
        <v>H</v>
      </c>
      <c r="E611" s="26" t="s">
        <v>1117</v>
      </c>
      <c r="F611" s="26" t="s">
        <v>28</v>
      </c>
      <c r="G611" s="255">
        <f t="shared" si="265"/>
        <v>32.049999999999997</v>
      </c>
      <c r="H611" s="33">
        <f>BDI!$E$19</f>
        <v>0.24117279049169804</v>
      </c>
      <c r="I611" s="95">
        <f t="shared" si="263"/>
        <v>7.73</v>
      </c>
      <c r="J611" s="313">
        <f t="shared" si="264"/>
        <v>636.48</v>
      </c>
    </row>
    <row r="612" spans="1:10">
      <c r="A612" s="413" t="str">
        <f>OBSOLETO!D1510</f>
        <v>15.2.4</v>
      </c>
      <c r="B612" s="109" t="str">
        <f>OBSOLETO!E1510</f>
        <v>Auxiliar de encanador com Encargos Complementares 8 h/dia x 2 dias x 1 profiss.</v>
      </c>
      <c r="C612" s="30">
        <f>OBSOLETO!R1510</f>
        <v>16</v>
      </c>
      <c r="D612" s="27" t="str">
        <f>OBSOLETO!S1510</f>
        <v>H</v>
      </c>
      <c r="E612" s="26" t="s">
        <v>1115</v>
      </c>
      <c r="F612" s="26" t="s">
        <v>28</v>
      </c>
      <c r="G612" s="255">
        <f t="shared" si="265"/>
        <v>27.57</v>
      </c>
      <c r="H612" s="33">
        <f>BDI!$E$19</f>
        <v>0.24117279049169804</v>
      </c>
      <c r="I612" s="95">
        <f t="shared" si="263"/>
        <v>6.65</v>
      </c>
      <c r="J612" s="313">
        <f t="shared" si="264"/>
        <v>547.52</v>
      </c>
    </row>
    <row r="613" spans="1:10">
      <c r="A613" s="413" t="str">
        <f>OBSOLETO!D1511</f>
        <v>15.2.5</v>
      </c>
      <c r="B613" s="109" t="str">
        <f>OBSOLETO!E1511</f>
        <v>Motorista de Veículo Leve com Encargos Complementares 8 h/ dia x 2 dias x 1 profiss.</v>
      </c>
      <c r="C613" s="30">
        <f>OBSOLETO!R1511</f>
        <v>16</v>
      </c>
      <c r="D613" s="27" t="str">
        <f>OBSOLETO!S1511</f>
        <v>H</v>
      </c>
      <c r="E613" s="26" t="s">
        <v>1118</v>
      </c>
      <c r="F613" s="26" t="s">
        <v>28</v>
      </c>
      <c r="G613" s="255">
        <f t="shared" si="265"/>
        <v>26.82</v>
      </c>
      <c r="H613" s="33">
        <f>BDI!$E$19</f>
        <v>0.24117279049169804</v>
      </c>
      <c r="I613" s="95">
        <f t="shared" si="263"/>
        <v>6.47</v>
      </c>
      <c r="J613" s="313">
        <f t="shared" si="264"/>
        <v>532.64</v>
      </c>
    </row>
    <row r="614" spans="1:10">
      <c r="A614" s="411" t="str">
        <f>OBSOLETO!C1513</f>
        <v>15.3</v>
      </c>
      <c r="B614" s="112" t="str">
        <f>OBSOLETO!D1513</f>
        <v>Aferição e Calibração de Macromedidor com equipamento do tipo ultrassônico</v>
      </c>
      <c r="C614" s="113"/>
      <c r="D614" s="113"/>
      <c r="E614" s="113"/>
      <c r="F614" s="113"/>
      <c r="G614" s="113"/>
      <c r="H614" s="113"/>
      <c r="I614" s="113"/>
      <c r="J614" s="420"/>
    </row>
    <row r="615" spans="1:10">
      <c r="A615" s="413" t="str">
        <f>OBSOLETO!D1514</f>
        <v>15.3.1</v>
      </c>
      <c r="B615" s="109" t="str">
        <f>OBSOLETO!E1514</f>
        <v>Engenheiro Civil de obras com Encargos Complementares 4 h/dia x 1 dia</v>
      </c>
      <c r="C615" s="30">
        <f>OBSOLETO!R1514</f>
        <v>4</v>
      </c>
      <c r="D615" s="27" t="str">
        <f>OBSOLETO!S1514</f>
        <v>H</v>
      </c>
      <c r="E615" s="26" t="s">
        <v>1111</v>
      </c>
      <c r="F615" s="26" t="s">
        <v>28</v>
      </c>
      <c r="G615" s="255">
        <f>G609</f>
        <v>127.08</v>
      </c>
      <c r="H615" s="92">
        <f>BDI!$E$19</f>
        <v>0.24117279049169804</v>
      </c>
      <c r="I615" s="95">
        <f t="shared" ref="I615:I617" si="266">ROUND(G615*H615,2)</f>
        <v>30.65</v>
      </c>
      <c r="J615" s="313">
        <f t="shared" ref="J615:J617" si="267">ROUND(IF(ISNUMBER(I615),C615*(G615+I615),C615*G615),2)</f>
        <v>630.91999999999996</v>
      </c>
    </row>
    <row r="616" spans="1:10">
      <c r="A616" s="413" t="str">
        <f>OBSOLETO!D1515</f>
        <v>15.3.2</v>
      </c>
      <c r="B616" s="109" t="str">
        <f>OBSOLETO!E1515</f>
        <v>Encanador com Encargos Complementares 8 h/dia x 1 dias x 1 profiss.</v>
      </c>
      <c r="C616" s="30">
        <f>OBSOLETO!R1515</f>
        <v>8</v>
      </c>
      <c r="D616" s="27" t="str">
        <f>OBSOLETO!S1515</f>
        <v>H</v>
      </c>
      <c r="E616" s="26" t="s">
        <v>1117</v>
      </c>
      <c r="F616" s="26" t="s">
        <v>28</v>
      </c>
      <c r="G616" s="255">
        <f>G611</f>
        <v>32.049999999999997</v>
      </c>
      <c r="H616" s="92">
        <f>BDI!$E$19</f>
        <v>0.24117279049169804</v>
      </c>
      <c r="I616" s="95">
        <f t="shared" si="266"/>
        <v>7.73</v>
      </c>
      <c r="J616" s="313">
        <f t="shared" si="267"/>
        <v>318.24</v>
      </c>
    </row>
    <row r="617" spans="1:10">
      <c r="A617" s="413" t="str">
        <f>OBSOLETO!D1516</f>
        <v>15.3.3</v>
      </c>
      <c r="B617" s="109" t="str">
        <f>OBSOLETO!E1516</f>
        <v>Auxiliar de encanador com Encargos Complementares 8 h/dia x 1 dias x 1 profiss.</v>
      </c>
      <c r="C617" s="30">
        <f>OBSOLETO!R1516</f>
        <v>8</v>
      </c>
      <c r="D617" s="27" t="str">
        <f>OBSOLETO!S1516</f>
        <v>H</v>
      </c>
      <c r="E617" s="26" t="s">
        <v>1115</v>
      </c>
      <c r="F617" s="26" t="s">
        <v>28</v>
      </c>
      <c r="G617" s="255">
        <f>G612</f>
        <v>27.57</v>
      </c>
      <c r="H617" s="92">
        <f>BDI!$E$19</f>
        <v>0.24117279049169804</v>
      </c>
      <c r="I617" s="95">
        <f t="shared" si="266"/>
        <v>6.65</v>
      </c>
      <c r="J617" s="313">
        <f t="shared" si="267"/>
        <v>273.76</v>
      </c>
    </row>
    <row r="618" spans="1:10">
      <c r="A618" s="27"/>
      <c r="B618" s="2" t="s">
        <v>700</v>
      </c>
      <c r="C618" s="30"/>
      <c r="D618" s="27"/>
      <c r="E618" s="26"/>
      <c r="F618" s="26"/>
      <c r="G618" s="28"/>
      <c r="H618" s="48"/>
      <c r="I618" s="28"/>
      <c r="J618" s="428" t="e">
        <f>SUM(J603:J617)</f>
        <v>#REF!</v>
      </c>
    </row>
    <row r="619" spans="1:10">
      <c r="A619" s="423"/>
      <c r="B619" s="392"/>
      <c r="C619" s="392"/>
      <c r="D619" s="392"/>
      <c r="E619" s="392"/>
      <c r="F619" s="392"/>
      <c r="G619" s="392"/>
      <c r="H619" s="392"/>
      <c r="I619" s="392"/>
      <c r="J619" s="427"/>
    </row>
    <row r="620" spans="1:10">
      <c r="A620" s="411">
        <f>OBSOLETO!C1519</f>
        <v>16</v>
      </c>
      <c r="B620" s="112" t="str">
        <f>OBSOLETO!D1519</f>
        <v>Pré Operação e Teste de Estanqueidade dos Setores</v>
      </c>
      <c r="C620" s="113"/>
      <c r="D620" s="113"/>
      <c r="E620" s="113"/>
      <c r="F620" s="113"/>
      <c r="G620" s="113"/>
      <c r="H620" s="113"/>
      <c r="I620" s="113"/>
      <c r="J620" s="420"/>
    </row>
    <row r="621" spans="1:10">
      <c r="A621" s="27" t="str">
        <f>OBSOLETO!D1521</f>
        <v>16.1</v>
      </c>
      <c r="B621" s="47" t="str">
        <f>OBSOLETO!E1521</f>
        <v>Medição de pressão pelo processo pitométrico, período mínimo de 7 dias</v>
      </c>
      <c r="C621" s="30">
        <f>OBSOLETO!R1522</f>
        <v>12</v>
      </c>
      <c r="D621" s="27" t="str">
        <f>OBSOLETO!S1522</f>
        <v>Und</v>
      </c>
      <c r="E621" s="936" t="s">
        <v>183</v>
      </c>
      <c r="F621" s="937"/>
      <c r="G621" s="255">
        <v>3680</v>
      </c>
      <c r="H621" s="42">
        <f>BDI!$E$35</f>
        <v>0.14012827909185233</v>
      </c>
      <c r="I621" s="49">
        <f t="shared" ref="I621" si="268">ROUND(G621*H621,2)</f>
        <v>515.66999999999996</v>
      </c>
      <c r="J621" s="313">
        <f t="shared" ref="J621" si="269">ROUND(IF(ISNUMBER(I621),C621*(G621+I621),C621*G621),2)</f>
        <v>50348.04</v>
      </c>
    </row>
    <row r="622" spans="1:10">
      <c r="A622" s="27" t="str">
        <f>OBSOLETO!D1525</f>
        <v>16.2</v>
      </c>
      <c r="B622" s="47" t="str">
        <f>OBSOLETO!E1525</f>
        <v>Medição de pressão instantânea no entorno dos setores de abastecimento - Comercial</v>
      </c>
      <c r="C622" s="30">
        <f>OBSOLETO!R1526</f>
        <v>180</v>
      </c>
      <c r="D622" s="30" t="str">
        <f>OBSOLETO!S1526</f>
        <v>Und</v>
      </c>
      <c r="E622" s="936" t="s">
        <v>183</v>
      </c>
      <c r="F622" s="937"/>
      <c r="G622" s="255">
        <v>135</v>
      </c>
      <c r="H622" s="42">
        <f>BDI!$E$35</f>
        <v>0.14012827909185233</v>
      </c>
      <c r="I622" s="49">
        <f t="shared" ref="I622:I624" si="270">ROUND(G622*H622,2)</f>
        <v>18.920000000000002</v>
      </c>
      <c r="J622" s="313">
        <f t="shared" ref="J622:J624" si="271">ROUND(IF(ISNUMBER(I622),C622*(G622+I622),C622*G622),2)</f>
        <v>27705.599999999999</v>
      </c>
    </row>
    <row r="623" spans="1:10">
      <c r="A623" s="27" t="str">
        <f>OBSOLETO!D1529</f>
        <v>16.3</v>
      </c>
      <c r="B623" s="47" t="str">
        <f>OBSOLETO!E1529</f>
        <v>Execução de medição de pressão por data logger de pressão, pelo período de 24 horas</v>
      </c>
      <c r="C623" s="30">
        <f>OBSOLETO!R1530</f>
        <v>24</v>
      </c>
      <c r="D623" s="27" t="str">
        <f>OBSOLETO!S1530</f>
        <v>Und</v>
      </c>
      <c r="E623" s="936" t="s">
        <v>183</v>
      </c>
      <c r="F623" s="937"/>
      <c r="G623" s="255">
        <v>1400</v>
      </c>
      <c r="H623" s="42">
        <f>BDI!$E$35</f>
        <v>0.14012827909185233</v>
      </c>
      <c r="I623" s="49">
        <f t="shared" si="270"/>
        <v>196.18</v>
      </c>
      <c r="J623" s="313">
        <f t="shared" si="271"/>
        <v>38308.32</v>
      </c>
    </row>
    <row r="624" spans="1:10">
      <c r="A624" s="27" t="str">
        <f>OBSOLETO!D1533</f>
        <v>16.4</v>
      </c>
      <c r="B624" s="47" t="str">
        <f>OBSOLETO!E1533</f>
        <v>Identificação em planta cadastral dos pontos de instalação de CAP, VRP, Telemetria, registros, etc</v>
      </c>
      <c r="C624" s="30">
        <f>OBSOLETO!R1534</f>
        <v>12</v>
      </c>
      <c r="D624" s="27" t="str">
        <f>OBSOLETO!S1534</f>
        <v>EQD</v>
      </c>
      <c r="E624" s="26" t="s">
        <v>28</v>
      </c>
      <c r="F624" s="26" t="s">
        <v>1092</v>
      </c>
      <c r="G624" s="255">
        <v>1632.79</v>
      </c>
      <c r="H624" s="42">
        <v>0</v>
      </c>
      <c r="I624" s="49">
        <f t="shared" si="270"/>
        <v>0</v>
      </c>
      <c r="J624" s="313">
        <f t="shared" si="271"/>
        <v>19593.48</v>
      </c>
    </row>
    <row r="625" spans="1:10">
      <c r="A625" s="27"/>
      <c r="B625" s="2" t="s">
        <v>718</v>
      </c>
      <c r="C625" s="30"/>
      <c r="D625" s="27"/>
      <c r="E625" s="26"/>
      <c r="F625" s="26"/>
      <c r="G625" s="28"/>
      <c r="H625" s="48"/>
      <c r="I625" s="28"/>
      <c r="J625" s="428">
        <f>SUM(J621:J624)</f>
        <v>135955.44</v>
      </c>
    </row>
    <row r="626" spans="1:10">
      <c r="A626" s="423"/>
      <c r="B626" s="392"/>
      <c r="C626" s="392"/>
      <c r="D626" s="392"/>
      <c r="E626" s="392"/>
      <c r="F626" s="392"/>
      <c r="G626" s="392"/>
      <c r="H626" s="392"/>
      <c r="I626" s="392"/>
      <c r="J626" s="427"/>
    </row>
    <row r="627" spans="1:10" ht="26.25" customHeight="1">
      <c r="A627" s="653">
        <f>OBSOLETO!C1537</f>
        <v>17</v>
      </c>
      <c r="B627" s="113" t="str">
        <f>OBSOLETO!D1537</f>
        <v>Medições de Parâmetros Elétricos e Hidráulicos das bombas dos poços profundos, com relatórios de eficiência energética - 12 unid.</v>
      </c>
      <c r="C627" s="113"/>
      <c r="D627" s="113"/>
      <c r="E627" s="113"/>
      <c r="F627" s="113"/>
      <c r="G627" s="113"/>
      <c r="H627" s="113"/>
      <c r="I627" s="113"/>
      <c r="J627" s="113"/>
    </row>
    <row r="628" spans="1:10">
      <c r="A628" s="637" t="str">
        <f>OBSOLETO!D1539</f>
        <v>17.1</v>
      </c>
      <c r="B628" s="109" t="str">
        <f>OBSOLETO!E1539</f>
        <v>Engenheiro Civil de obras com Encargos Complementares 10 h/dia x 12 setores</v>
      </c>
      <c r="C628" s="316">
        <f>OBSOLETO!R1539</f>
        <v>120</v>
      </c>
      <c r="D628" s="27" t="str">
        <f>OBSOLETO!S1539</f>
        <v>H</v>
      </c>
      <c r="E628" s="26" t="s">
        <v>1119</v>
      </c>
      <c r="F628" s="26" t="s">
        <v>28</v>
      </c>
      <c r="G628" s="255">
        <f>G615</f>
        <v>127.08</v>
      </c>
      <c r="H628" s="92">
        <f>BDI!$E$19</f>
        <v>0.24117279049169804</v>
      </c>
      <c r="I628" s="95">
        <f t="shared" ref="I628" si="272">ROUND(G628*H628,2)</f>
        <v>30.65</v>
      </c>
      <c r="J628" s="313">
        <f t="shared" ref="J628" si="273">ROUND(IF(ISNUMBER(I628),C628*(G628+I628),C628*G628),2)</f>
        <v>18927.599999999999</v>
      </c>
    </row>
    <row r="629" spans="1:10">
      <c r="A629" s="637" t="str">
        <f>OBSOLETO!D1540</f>
        <v>17.2</v>
      </c>
      <c r="B629" s="109" t="str">
        <f>OBSOLETO!E1540</f>
        <v>Encarregado Geral com Encargos Complementares 10 h/dia x 12 setores</v>
      </c>
      <c r="C629" s="316">
        <f>OBSOLETO!R1540</f>
        <v>120</v>
      </c>
      <c r="D629" s="27" t="str">
        <f>OBSOLETO!S1540</f>
        <v>H</v>
      </c>
      <c r="E629" s="26" t="s">
        <v>1120</v>
      </c>
      <c r="F629" s="26" t="s">
        <v>28</v>
      </c>
      <c r="G629" s="255">
        <f>G610</f>
        <v>38.46</v>
      </c>
      <c r="H629" s="92">
        <f>BDI!$E$19</f>
        <v>0.24117279049169804</v>
      </c>
      <c r="I629" s="95">
        <f t="shared" ref="I629:I630" si="274">ROUND(G629*H629,2)</f>
        <v>9.2799999999999994</v>
      </c>
      <c r="J629" s="313">
        <f t="shared" ref="J629:J630" si="275">ROUND(IF(ISNUMBER(I629),C629*(G629+I629),C629*G629),2)</f>
        <v>5728.8</v>
      </c>
    </row>
    <row r="630" spans="1:10">
      <c r="A630" s="637" t="str">
        <f>OBSOLETO!D1541</f>
        <v>17.3</v>
      </c>
      <c r="B630" s="109" t="str">
        <f>OBSOLETO!E1541</f>
        <v>Medidor de Parâmetros Elétricos: Equipamento unitário x Quant. de Setores</v>
      </c>
      <c r="C630" s="316">
        <f>OBSOLETO!R1541</f>
        <v>12</v>
      </c>
      <c r="D630" s="27" t="str">
        <f>OBSOLETO!S1541</f>
        <v>Und</v>
      </c>
      <c r="E630" s="927" t="s">
        <v>183</v>
      </c>
      <c r="F630" s="928"/>
      <c r="G630" s="255" t="e">
        <f>#REF!</f>
        <v>#REF!</v>
      </c>
      <c r="H630" s="33">
        <f>BDI!$E$35</f>
        <v>0.14012827909185233</v>
      </c>
      <c r="I630" s="95" t="e">
        <f t="shared" si="274"/>
        <v>#REF!</v>
      </c>
      <c r="J630" s="313" t="e">
        <f t="shared" si="275"/>
        <v>#REF!</v>
      </c>
    </row>
    <row r="631" spans="1:10">
      <c r="A631" s="27"/>
      <c r="B631" s="2" t="s">
        <v>948</v>
      </c>
      <c r="C631" s="30"/>
      <c r="D631" s="27"/>
      <c r="E631" s="26"/>
      <c r="F631" s="26"/>
      <c r="G631" s="28"/>
      <c r="H631" s="48"/>
      <c r="I631" s="28"/>
      <c r="J631" s="428" t="e">
        <f>SUM(J628:J630)</f>
        <v>#REF!</v>
      </c>
    </row>
    <row r="632" spans="1:10">
      <c r="A632" s="423"/>
      <c r="B632" s="392"/>
      <c r="C632" s="392"/>
      <c r="D632" s="392"/>
      <c r="E632" s="392"/>
      <c r="F632" s="392"/>
      <c r="G632" s="392"/>
      <c r="H632" s="392"/>
      <c r="I632" s="392"/>
      <c r="J632" s="427"/>
    </row>
    <row r="633" spans="1:10">
      <c r="A633" s="411">
        <v>18</v>
      </c>
      <c r="B633" s="112" t="s">
        <v>932</v>
      </c>
      <c r="C633" s="113"/>
      <c r="D633" s="113"/>
      <c r="E633" s="113"/>
      <c r="F633" s="113"/>
      <c r="G633" s="113"/>
      <c r="H633" s="113"/>
      <c r="I633" s="113"/>
      <c r="J633" s="420"/>
    </row>
    <row r="634" spans="1:10">
      <c r="A634" s="411" t="s">
        <v>966</v>
      </c>
      <c r="B634" s="112" t="s">
        <v>933</v>
      </c>
      <c r="C634" s="113"/>
      <c r="D634" s="113"/>
      <c r="E634" s="113"/>
      <c r="F634" s="113"/>
      <c r="G634" s="113"/>
      <c r="H634" s="113"/>
      <c r="I634" s="113"/>
      <c r="J634" s="214"/>
    </row>
    <row r="635" spans="1:10" ht="25.5">
      <c r="A635" s="637" t="s">
        <v>967</v>
      </c>
      <c r="B635" s="47" t="s">
        <v>945</v>
      </c>
      <c r="C635" s="30">
        <v>200</v>
      </c>
      <c r="D635" s="27" t="s">
        <v>118</v>
      </c>
      <c r="E635" s="26" t="s">
        <v>935</v>
      </c>
      <c r="F635" s="26" t="s">
        <v>28</v>
      </c>
      <c r="G635" s="255">
        <v>87.5</v>
      </c>
      <c r="H635" s="42">
        <f>BDI!$E$35</f>
        <v>0.14012827909185233</v>
      </c>
      <c r="I635" s="49">
        <f t="shared" ref="I635:I638" si="276">ROUND(G635*H635,2)</f>
        <v>12.26</v>
      </c>
      <c r="J635" s="313">
        <f t="shared" ref="J635:J638" si="277">ROUND(IF(ISNUMBER(I635),C635*(G635+I635),C635*G635),2)</f>
        <v>19952</v>
      </c>
    </row>
    <row r="636" spans="1:10">
      <c r="A636" s="637" t="s">
        <v>968</v>
      </c>
      <c r="B636" s="47" t="s">
        <v>938</v>
      </c>
      <c r="C636" s="30">
        <f>C635</f>
        <v>200</v>
      </c>
      <c r="D636" s="27" t="s">
        <v>118</v>
      </c>
      <c r="E636" s="26" t="s">
        <v>28</v>
      </c>
      <c r="F636" s="26" t="s">
        <v>937</v>
      </c>
      <c r="G636" s="255">
        <v>19.03</v>
      </c>
      <c r="H636" s="42">
        <v>0</v>
      </c>
      <c r="I636" s="49">
        <f t="shared" si="276"/>
        <v>0</v>
      </c>
      <c r="J636" s="313">
        <f t="shared" si="277"/>
        <v>3806</v>
      </c>
    </row>
    <row r="637" spans="1:10">
      <c r="A637" s="637" t="s">
        <v>969</v>
      </c>
      <c r="B637" s="47" t="s">
        <v>939</v>
      </c>
      <c r="C637" s="30">
        <f>C635</f>
        <v>200</v>
      </c>
      <c r="D637" s="27" t="s">
        <v>118</v>
      </c>
      <c r="E637" s="26" t="s">
        <v>28</v>
      </c>
      <c r="F637" s="26" t="s">
        <v>936</v>
      </c>
      <c r="G637" s="255">
        <v>7.31</v>
      </c>
      <c r="H637" s="42">
        <v>0</v>
      </c>
      <c r="I637" s="49">
        <f t="shared" si="276"/>
        <v>0</v>
      </c>
      <c r="J637" s="313">
        <f t="shared" si="277"/>
        <v>1462</v>
      </c>
    </row>
    <row r="638" spans="1:10">
      <c r="A638" s="637" t="s">
        <v>970</v>
      </c>
      <c r="B638" s="47" t="s">
        <v>941</v>
      </c>
      <c r="C638" s="30">
        <f>C635*2</f>
        <v>400</v>
      </c>
      <c r="D638" s="27" t="s">
        <v>118</v>
      </c>
      <c r="E638" s="26" t="s">
        <v>28</v>
      </c>
      <c r="F638" s="26" t="s">
        <v>940</v>
      </c>
      <c r="G638" s="255">
        <v>0.28000000000000003</v>
      </c>
      <c r="H638" s="42">
        <v>0</v>
      </c>
      <c r="I638" s="49">
        <f t="shared" si="276"/>
        <v>0</v>
      </c>
      <c r="J638" s="313">
        <f t="shared" si="277"/>
        <v>112</v>
      </c>
    </row>
    <row r="639" spans="1:10">
      <c r="A639" s="637" t="s">
        <v>971</v>
      </c>
      <c r="B639" s="47" t="s">
        <v>943</v>
      </c>
      <c r="C639" s="30">
        <f>C635*2</f>
        <v>400</v>
      </c>
      <c r="D639" s="27" t="s">
        <v>118</v>
      </c>
      <c r="E639" s="26" t="s">
        <v>28</v>
      </c>
      <c r="F639" s="26" t="s">
        <v>942</v>
      </c>
      <c r="G639" s="255">
        <v>7.33</v>
      </c>
      <c r="H639" s="42">
        <v>0</v>
      </c>
      <c r="I639" s="49">
        <f t="shared" ref="I639:I640" si="278">ROUND(G639*H639,2)</f>
        <v>0</v>
      </c>
      <c r="J639" s="313">
        <f t="shared" ref="J639:J640" si="279">ROUND(IF(ISNUMBER(I639),C639*(G639+I639),C639*G639),2)</f>
        <v>2932</v>
      </c>
    </row>
    <row r="640" spans="1:10">
      <c r="A640" s="637" t="s">
        <v>972</v>
      </c>
      <c r="B640" s="47" t="s">
        <v>982</v>
      </c>
      <c r="C640" s="30">
        <f>C635*2</f>
        <v>400</v>
      </c>
      <c r="D640" s="27" t="s">
        <v>118</v>
      </c>
      <c r="E640" s="26" t="s">
        <v>28</v>
      </c>
      <c r="F640" s="26" t="s">
        <v>944</v>
      </c>
      <c r="G640" s="255">
        <v>0.79</v>
      </c>
      <c r="H640" s="42">
        <v>0</v>
      </c>
      <c r="I640" s="49">
        <f t="shared" si="278"/>
        <v>0</v>
      </c>
      <c r="J640" s="313">
        <f t="shared" si="279"/>
        <v>316</v>
      </c>
    </row>
    <row r="641" spans="1:11">
      <c r="A641" s="411" t="str">
        <f>OBSOLETO!C1546</f>
        <v>18.2</v>
      </c>
      <c r="B641" s="112" t="str">
        <f>OBSOLETO!D1546</f>
        <v>Fornecimento de Mão de Obra para Substituição de Hidrômetros e Instalação das demais peças</v>
      </c>
      <c r="C641" s="113"/>
      <c r="D641" s="113"/>
      <c r="E641" s="113"/>
      <c r="F641" s="113"/>
      <c r="G641" s="113"/>
      <c r="H641" s="113"/>
      <c r="I641" s="113"/>
      <c r="J641" s="214"/>
      <c r="K641" s="320"/>
    </row>
    <row r="642" spans="1:11">
      <c r="A642" s="637" t="str">
        <f>OBSOLETO!D1550</f>
        <v>18.2.1</v>
      </c>
      <c r="B642" s="109" t="str">
        <f>OBSOLETO!E1550</f>
        <v>Motorista de Veículo Leve com Encargos Complementares 1 h/dia x Quantidade de Hidrômetros</v>
      </c>
      <c r="C642" s="30">
        <f>OBSOLETO!R1550</f>
        <v>200</v>
      </c>
      <c r="D642" s="27" t="str">
        <f>OBSOLETO!S1550</f>
        <v>H</v>
      </c>
      <c r="E642" s="26" t="s">
        <v>1118</v>
      </c>
      <c r="F642" s="26" t="s">
        <v>28</v>
      </c>
      <c r="G642" s="255">
        <f>G613</f>
        <v>26.82</v>
      </c>
      <c r="H642" s="92">
        <f>BDI!$E$19</f>
        <v>0.24117279049169804</v>
      </c>
      <c r="I642" s="49">
        <f t="shared" ref="I642" si="280">ROUND(G642*H642,2)</f>
        <v>6.47</v>
      </c>
      <c r="J642" s="313">
        <f t="shared" ref="J642" si="281">ROUND(IF(ISNUMBER(I642),C642*(G642+I642),C642*G642),2)</f>
        <v>6658</v>
      </c>
    </row>
    <row r="643" spans="1:11">
      <c r="A643" s="637" t="str">
        <f>OBSOLETO!D1551</f>
        <v>18.2.2</v>
      </c>
      <c r="B643" s="109" t="str">
        <f>OBSOLETO!E1551</f>
        <v>Encanador com Encargos Complementares 1 h/dia x Quantidade de Hidrômetros</v>
      </c>
      <c r="C643" s="30">
        <f>OBSOLETO!R1551</f>
        <v>200</v>
      </c>
      <c r="D643" s="27" t="str">
        <f>OBSOLETO!S1551</f>
        <v>H</v>
      </c>
      <c r="E643" s="26" t="s">
        <v>1115</v>
      </c>
      <c r="F643" s="26" t="s">
        <v>28</v>
      </c>
      <c r="G643" s="255">
        <f>G616</f>
        <v>32.049999999999997</v>
      </c>
      <c r="H643" s="92">
        <f>BDI!$E$19</f>
        <v>0.24117279049169804</v>
      </c>
      <c r="I643" s="49">
        <f t="shared" ref="I643:I644" si="282">ROUND(G643*H643,2)</f>
        <v>7.73</v>
      </c>
      <c r="J643" s="313">
        <f t="shared" ref="J643:J644" si="283">ROUND(IF(ISNUMBER(I643),C643*(G643+I643),C643*G643),2)</f>
        <v>7956</v>
      </c>
    </row>
    <row r="644" spans="1:11">
      <c r="A644" s="637" t="str">
        <f>OBSOLETO!D1552</f>
        <v>18.2.3</v>
      </c>
      <c r="B644" s="109" t="str">
        <f>OBSOLETO!E1552</f>
        <v>Auxiliar de Encanador com Encargos Complementares 1 h/dia x Quantidade de Hidrômetros</v>
      </c>
      <c r="C644" s="30">
        <f>OBSOLETO!R1552</f>
        <v>200</v>
      </c>
      <c r="D644" s="27" t="str">
        <f>OBSOLETO!S1552</f>
        <v>H</v>
      </c>
      <c r="E644" s="26" t="s">
        <v>1117</v>
      </c>
      <c r="F644" s="26" t="s">
        <v>28</v>
      </c>
      <c r="G644" s="255">
        <f>G617</f>
        <v>27.57</v>
      </c>
      <c r="H644" s="92">
        <f>BDI!$E$19</f>
        <v>0.24117279049169804</v>
      </c>
      <c r="I644" s="49">
        <f t="shared" si="282"/>
        <v>6.65</v>
      </c>
      <c r="J644" s="313">
        <f t="shared" si="283"/>
        <v>6844</v>
      </c>
    </row>
    <row r="645" spans="1:11" ht="30" customHeight="1">
      <c r="A645" s="411" t="str">
        <f>OBSOLETO!C1555</f>
        <v>18.3</v>
      </c>
      <c r="B645" s="112" t="str">
        <f>OBSOLETO!D1555</f>
        <v>Levantamento do Perfil de Consumo através de Data-Logger de Vazão e Pressão em ligações domiciliares (24 Pontos) pelo período de 07 dias</v>
      </c>
      <c r="C645" s="113"/>
      <c r="D645" s="113"/>
      <c r="E645" s="113"/>
      <c r="F645" s="113"/>
      <c r="G645" s="113"/>
      <c r="H645" s="113"/>
      <c r="I645" s="113"/>
      <c r="J645" s="214"/>
    </row>
    <row r="646" spans="1:11" ht="30.75" customHeight="1">
      <c r="A646" s="637" t="str">
        <f>OBSOLETO!D1561</f>
        <v>18.3.1</v>
      </c>
      <c r="B646" s="109" t="str">
        <f>OBSOLETO!E1561</f>
        <v>Engenheiro Civil de obras com Encargos Complementares 2 h/unid. x  Total de medições (Considerando instalação e desinstalação)</v>
      </c>
      <c r="C646" s="316">
        <f>OBSOLETO!R1561</f>
        <v>48</v>
      </c>
      <c r="D646" s="27" t="str">
        <f>OBSOLETO!S1561</f>
        <v>H</v>
      </c>
      <c r="E646" s="26" t="s">
        <v>1111</v>
      </c>
      <c r="F646" s="26" t="s">
        <v>28</v>
      </c>
      <c r="G646" s="314">
        <f>G628</f>
        <v>127.08</v>
      </c>
      <c r="H646" s="92">
        <f>BDI!$E$19</f>
        <v>0.24117279049169804</v>
      </c>
      <c r="I646" s="315">
        <f t="shared" ref="I646:I648" si="284">ROUND(G646*H646,2)</f>
        <v>30.65</v>
      </c>
      <c r="J646" s="313">
        <f t="shared" ref="J646" si="285">ROUND(IF(ISNUMBER(I646),C646*(G646+I646),C646*G646),2)</f>
        <v>7571.04</v>
      </c>
    </row>
    <row r="647" spans="1:11">
      <c r="A647" s="637" t="str">
        <f>OBSOLETO!D1562</f>
        <v>18.3.2</v>
      </c>
      <c r="B647" s="109" t="str">
        <f>OBSOLETO!E1562</f>
        <v>Encanador com Encargos Complementares 6 h/unid. x Total de medições (Considerando instalação e desinstalação)</v>
      </c>
      <c r="C647" s="316">
        <f>OBSOLETO!R1562</f>
        <v>144</v>
      </c>
      <c r="D647" s="27" t="str">
        <f>OBSOLETO!S1562</f>
        <v>H</v>
      </c>
      <c r="E647" s="26" t="s">
        <v>1117</v>
      </c>
      <c r="F647" s="26" t="s">
        <v>28</v>
      </c>
      <c r="G647" s="314">
        <f>G616</f>
        <v>32.049999999999997</v>
      </c>
      <c r="H647" s="92">
        <f>BDI!$E$19</f>
        <v>0.24117279049169804</v>
      </c>
      <c r="I647" s="49">
        <f t="shared" si="284"/>
        <v>7.73</v>
      </c>
      <c r="J647" s="313">
        <f t="shared" ref="J647:J648" si="286">ROUND(IF(ISNUMBER(I647),C647*(G647+I647),C647*G647),2)</f>
        <v>5728.32</v>
      </c>
    </row>
    <row r="648" spans="1:11">
      <c r="A648" s="637" t="str">
        <f>OBSOLETO!D1563</f>
        <v>18.3.3</v>
      </c>
      <c r="B648" s="109" t="str">
        <f>OBSOLETO!E1563</f>
        <v>Auxiliar de encanador com Encargos Complementares 6 h/unid. x Total de medições (Considerando instalação e desinstalação)</v>
      </c>
      <c r="C648" s="316">
        <f>OBSOLETO!R1563</f>
        <v>144</v>
      </c>
      <c r="D648" s="27" t="str">
        <f>OBSOLETO!S1563</f>
        <v>H</v>
      </c>
      <c r="E648" s="26" t="s">
        <v>1115</v>
      </c>
      <c r="F648" s="26" t="s">
        <v>28</v>
      </c>
      <c r="G648" s="314">
        <f>G617</f>
        <v>27.57</v>
      </c>
      <c r="H648" s="92">
        <f>BDI!$E$19</f>
        <v>0.24117279049169804</v>
      </c>
      <c r="I648" s="49">
        <f t="shared" si="284"/>
        <v>6.65</v>
      </c>
      <c r="J648" s="313">
        <f t="shared" si="286"/>
        <v>4927.68</v>
      </c>
    </row>
    <row r="649" spans="1:11">
      <c r="A649" s="637" t="str">
        <f>OBSOLETO!D1564</f>
        <v>18.3.4</v>
      </c>
      <c r="B649" s="109" t="str">
        <f>OBSOLETO!E1564</f>
        <v>Desenhista Projetista com Encargos Complementares 3 h/unid. x Total de medições (Considerando instalação e desinstalação)</v>
      </c>
      <c r="C649" s="316">
        <f>OBSOLETO!R1564</f>
        <v>72</v>
      </c>
      <c r="D649" s="27" t="str">
        <f>OBSOLETO!S1564</f>
        <v>H</v>
      </c>
      <c r="E649" s="26" t="s">
        <v>1392</v>
      </c>
      <c r="F649" s="26" t="s">
        <v>28</v>
      </c>
      <c r="G649" s="314">
        <f>+G648</f>
        <v>27.57</v>
      </c>
      <c r="H649" s="92">
        <f>BDI!$E$19</f>
        <v>0.24117279049169804</v>
      </c>
      <c r="I649" s="49">
        <f t="shared" ref="I649" si="287">ROUND(G649*H649,2)</f>
        <v>6.65</v>
      </c>
      <c r="J649" s="313">
        <f t="shared" ref="J649" si="288">ROUND(IF(ISNUMBER(I649),C649*(G649+I649),C649*G649),2)</f>
        <v>2463.84</v>
      </c>
    </row>
    <row r="650" spans="1:11">
      <c r="A650" s="27"/>
      <c r="B650" s="2" t="s">
        <v>1391</v>
      </c>
      <c r="C650" s="30"/>
      <c r="D650" s="27"/>
      <c r="E650" s="26"/>
      <c r="F650" s="26"/>
      <c r="G650" s="28"/>
      <c r="H650" s="48"/>
      <c r="I650" s="28"/>
      <c r="J650" s="428">
        <f>SUM(J635:J649)</f>
        <v>70728.88</v>
      </c>
    </row>
    <row r="651" spans="1:11">
      <c r="A651" s="423"/>
      <c r="B651" s="392"/>
      <c r="C651" s="392"/>
      <c r="D651" s="392"/>
      <c r="E651" s="392"/>
      <c r="F651" s="392"/>
      <c r="G651" s="392"/>
      <c r="H651" s="392"/>
      <c r="I651" s="392"/>
      <c r="J651" s="427"/>
    </row>
    <row r="652" spans="1:11" ht="23.25" customHeight="1">
      <c r="A652" s="958" t="s">
        <v>328</v>
      </c>
      <c r="B652" s="959"/>
      <c r="C652" s="959"/>
      <c r="D652" s="959"/>
      <c r="E652" s="959"/>
      <c r="F652" s="959"/>
      <c r="G652" s="959"/>
      <c r="H652" s="959"/>
      <c r="I652" s="960"/>
      <c r="J652" s="194" t="e">
        <f>J8+J12+J25+J49+J104+J196+J215+J279+J418+J474+J518+J539+J558+J599+J618+J625+J631+J650</f>
        <v>#REF!</v>
      </c>
    </row>
    <row r="653" spans="1:11" ht="20.25" customHeight="1">
      <c r="A653" s="410" t="s">
        <v>348</v>
      </c>
      <c r="B653" s="956" t="s">
        <v>1445</v>
      </c>
      <c r="C653" s="956"/>
      <c r="D653" s="956"/>
      <c r="E653" s="956"/>
      <c r="F653" s="956"/>
      <c r="G653" s="956"/>
      <c r="H653" s="956"/>
      <c r="I653" s="956"/>
      <c r="J653" s="957"/>
    </row>
    <row r="654" spans="1:11" ht="16.5">
      <c r="A654" s="227"/>
      <c r="B654" s="228" t="s">
        <v>1444</v>
      </c>
    </row>
    <row r="655" spans="1:11" ht="16.5">
      <c r="A655" s="227"/>
      <c r="B655" s="228"/>
      <c r="F655" s="1"/>
      <c r="G655" s="3"/>
    </row>
    <row r="656" spans="1:11" ht="16.5">
      <c r="A656" s="229"/>
      <c r="B656" s="230"/>
      <c r="F656" s="1"/>
      <c r="G656" s="3"/>
    </row>
    <row r="657" spans="1:2" ht="16.5">
      <c r="A657" s="229"/>
      <c r="B657" s="228"/>
    </row>
    <row r="658" spans="1:2" ht="16.5">
      <c r="A658" s="229"/>
      <c r="B658" s="231" t="s">
        <v>763</v>
      </c>
    </row>
    <row r="659" spans="1:2" ht="16.5">
      <c r="A659" s="229"/>
      <c r="B659" s="232" t="s">
        <v>764</v>
      </c>
    </row>
    <row r="660" spans="1:2" ht="16.5">
      <c r="A660" s="229"/>
      <c r="B660" s="232" t="s">
        <v>765</v>
      </c>
    </row>
  </sheetData>
  <mergeCells count="59">
    <mergeCell ref="E543:F543"/>
    <mergeCell ref="E393:F393"/>
    <mergeCell ref="E346:F346"/>
    <mergeCell ref="E426:F426"/>
    <mergeCell ref="E262:F262"/>
    <mergeCell ref="E298:F298"/>
    <mergeCell ref="E425:F425"/>
    <mergeCell ref="A280:J280"/>
    <mergeCell ref="E264:F264"/>
    <mergeCell ref="B653:J653"/>
    <mergeCell ref="E622:F622"/>
    <mergeCell ref="A652:I652"/>
    <mergeCell ref="E578:F578"/>
    <mergeCell ref="E621:F621"/>
    <mergeCell ref="E623:F623"/>
    <mergeCell ref="E603:F603"/>
    <mergeCell ref="E630:F630"/>
    <mergeCell ref="E239:F239"/>
    <mergeCell ref="E181:F181"/>
    <mergeCell ref="E200:F200"/>
    <mergeCell ref="A1:J1"/>
    <mergeCell ref="A4:A5"/>
    <mergeCell ref="B4:B5"/>
    <mergeCell ref="C4:C5"/>
    <mergeCell ref="D4:D5"/>
    <mergeCell ref="J4:J5"/>
    <mergeCell ref="B2:J2"/>
    <mergeCell ref="E4:E5"/>
    <mergeCell ref="F4:F5"/>
    <mergeCell ref="G4:G5"/>
    <mergeCell ref="H4:I4"/>
    <mergeCell ref="E32:F32"/>
    <mergeCell ref="E36:F36"/>
    <mergeCell ref="E11:F11"/>
    <mergeCell ref="A50:J50"/>
    <mergeCell ref="E68:F68"/>
    <mergeCell ref="A26:J26"/>
    <mergeCell ref="E179:F179"/>
    <mergeCell ref="E89:F89"/>
    <mergeCell ref="E35:F35"/>
    <mergeCell ref="E178:F178"/>
    <mergeCell ref="E34:F34"/>
    <mergeCell ref="A105:J105"/>
    <mergeCell ref="B3:J3"/>
    <mergeCell ref="E7:F7"/>
    <mergeCell ref="E538:F538"/>
    <mergeCell ref="E517:F517"/>
    <mergeCell ref="E337:F337"/>
    <mergeCell ref="E447:F447"/>
    <mergeCell ref="E450:F450"/>
    <mergeCell ref="A9:J9"/>
    <mergeCell ref="A13:J13"/>
    <mergeCell ref="E501:F501"/>
    <mergeCell ref="E522:F522"/>
    <mergeCell ref="E492:F492"/>
    <mergeCell ref="E424:F424"/>
    <mergeCell ref="A419:J419"/>
    <mergeCell ref="E319:F319"/>
    <mergeCell ref="E20:F20"/>
  </mergeCells>
  <phoneticPr fontId="53" type="noConversion"/>
  <conditionalFormatting sqref="F53:F54">
    <cfRule type="containsText" dxfId="9" priority="18" stopIfTrue="1" operator="containsText" text="COMERCIAL">
      <formula>NOT(ISERROR(SEARCH("COMERCIAL",F53)))</formula>
    </cfRule>
  </conditionalFormatting>
  <conditionalFormatting sqref="F110:F111">
    <cfRule type="containsText" dxfId="8" priority="17" stopIfTrue="1" operator="containsText" text="COMERCIAL">
      <formula>NOT(ISERROR(SEARCH("COMERCIAL",F110)))</formula>
    </cfRule>
  </conditionalFormatting>
  <conditionalFormatting sqref="F219:F220">
    <cfRule type="containsText" dxfId="7" priority="14" stopIfTrue="1" operator="containsText" text="COMERCIAL">
      <formula>NOT(ISERROR(SEARCH("COMERCIAL",F219)))</formula>
    </cfRule>
  </conditionalFormatting>
  <conditionalFormatting sqref="F284:F285">
    <cfRule type="containsText" dxfId="6" priority="13" stopIfTrue="1" operator="containsText" text="COMERCIAL">
      <formula>NOT(ISERROR(SEARCH("COMERCIAL",F284)))</formula>
    </cfRule>
  </conditionalFormatting>
  <conditionalFormatting sqref="F377">
    <cfRule type="containsText" dxfId="5" priority="6" stopIfTrue="1" operator="containsText" text="COMERCIAL">
      <formula>NOT(ISERROR(SEARCH("COMERCIAL",F377)))</formula>
    </cfRule>
  </conditionalFormatting>
  <conditionalFormatting sqref="F478:F479">
    <cfRule type="containsText" dxfId="4" priority="12" stopIfTrue="1" operator="containsText" text="COMERCIAL">
      <formula>NOT(ISERROR(SEARCH("COMERCIAL",F478)))</formula>
    </cfRule>
  </conditionalFormatting>
  <conditionalFormatting sqref="F562:F563">
    <cfRule type="containsText" dxfId="3" priority="11" stopIfTrue="1" operator="containsText" text="COMERCIAL">
      <formula>NOT(ISERROR(SEARCH("COMERCIAL",F562)))</formula>
    </cfRule>
  </conditionalFormatting>
  <printOptions horizontalCentered="1"/>
  <pageMargins left="0.59055118110236227" right="0.59055118110236227" top="0.78740157480314965" bottom="0.59055118110236227" header="0.31496062992125984" footer="0.31496062992125984"/>
  <pageSetup paperSize="9" scale="60" fitToHeight="0" orientation="landscape" r:id="rId1"/>
  <headerFooter>
    <oddHeader>&amp;L&amp;G&amp;RRUA: DONA ROSA MIGUEL Nº 975  - VILA RIGHETI     
CEP: 19600-000 _ RANCHARIA / SP       
TELEFONE: (16) 98156-1147
CNPJ n.º 08.419.940/0001-21</oddHeader>
    <oddFooter>&amp;CEste documento é composto de 1 vias de igual teor&amp;RPágina &amp;P</oddFooter>
  </headerFooter>
  <rowBreaks count="13" manualBreakCount="13">
    <brk id="54" max="9" man="1"/>
    <brk id="105" max="9" man="1"/>
    <brk id="147" max="9" man="1"/>
    <brk id="197" max="9" man="1"/>
    <brk id="249" max="9" man="1"/>
    <brk id="299" max="9" man="1"/>
    <brk id="352" max="9" man="1"/>
    <brk id="397" max="9" man="1"/>
    <brk id="445" max="9" man="1"/>
    <brk id="497" max="9" man="1"/>
    <brk id="551" max="9" man="1"/>
    <brk id="600" max="9" man="1"/>
    <brk id="644" max="9" man="1"/>
  </rowBreaks>
  <ignoredErrors>
    <ignoredError sqref="C55:J55 C65 E57 F56 F58 F63 F64 F65" numberStoredAsText="1"/>
  </ignoredErrors>
  <legacyDrawingHF r:id="rId2"/>
</worksheet>
</file>

<file path=xl/worksheets/sheet3.xml><?xml version="1.0" encoding="utf-8"?>
<worksheet xmlns="http://schemas.openxmlformats.org/spreadsheetml/2006/main" xmlns:r="http://schemas.openxmlformats.org/officeDocument/2006/relationships">
  <sheetPr>
    <pageSetUpPr fitToPage="1"/>
  </sheetPr>
  <dimension ref="A1:J25"/>
  <sheetViews>
    <sheetView tabSelected="1" view="pageBreakPreview" zoomScaleNormal="70" zoomScaleSheetLayoutView="100" zoomScalePageLayoutView="70" workbookViewId="0">
      <selection activeCell="E23" sqref="E23"/>
    </sheetView>
  </sheetViews>
  <sheetFormatPr defaultRowHeight="14.25"/>
  <cols>
    <col min="1" max="1" width="9.85546875" style="857" bestFit="1" customWidth="1"/>
    <col min="2" max="2" width="118.42578125" style="856" customWidth="1"/>
    <col min="3" max="3" width="10" style="856" customWidth="1"/>
    <col min="4" max="4" width="11" style="857" bestFit="1" customWidth="1"/>
    <col min="5" max="5" width="21.85546875" style="870" customWidth="1"/>
    <col min="6" max="6" width="17.140625" style="856" customWidth="1"/>
    <col min="7" max="7" width="11.5703125" style="856" customWidth="1"/>
    <col min="8" max="9" width="9.140625" style="856"/>
    <col min="10" max="10" width="8.5703125" style="857" bestFit="1" customWidth="1"/>
    <col min="11" max="16384" width="9.140625" style="856"/>
  </cols>
  <sheetData>
    <row r="1" spans="1:10" ht="93" customHeight="1">
      <c r="A1" s="961"/>
      <c r="B1" s="961"/>
      <c r="C1" s="961"/>
      <c r="D1" s="961"/>
      <c r="E1" s="961"/>
    </row>
    <row r="2" spans="1:10" ht="25.5" customHeight="1">
      <c r="A2" s="963" t="s">
        <v>1554</v>
      </c>
      <c r="B2" s="964"/>
      <c r="C2" s="964"/>
      <c r="D2" s="964"/>
      <c r="E2" s="965"/>
    </row>
    <row r="3" spans="1:10" s="859" customFormat="1" ht="54" customHeight="1">
      <c r="A3" s="855" t="s">
        <v>349</v>
      </c>
      <c r="B3" s="966" t="str">
        <f>PLANILHA!B3</f>
        <v>Contratação de empresa especializada na execução de reservatório de 500m³ e obras hidráulicas no Bairro Jardim 2000, no município de Itápolis/SP, com o fornecimento de material, equipamentos e mão de obra qualificada.</v>
      </c>
      <c r="C3" s="966"/>
      <c r="D3" s="966"/>
      <c r="E3" s="967"/>
      <c r="J3" s="860"/>
    </row>
    <row r="4" spans="1:10" s="859" customFormat="1" ht="23.25" customHeight="1">
      <c r="A4" s="855" t="s">
        <v>9</v>
      </c>
      <c r="B4" s="966" t="s">
        <v>1555</v>
      </c>
      <c r="C4" s="966"/>
      <c r="D4" s="966"/>
      <c r="E4" s="967"/>
      <c r="J4" s="860"/>
    </row>
    <row r="5" spans="1:10">
      <c r="A5" s="968" t="s">
        <v>10</v>
      </c>
      <c r="B5" s="969" t="s">
        <v>11</v>
      </c>
      <c r="C5" s="969" t="s">
        <v>134</v>
      </c>
      <c r="D5" s="969" t="s">
        <v>121</v>
      </c>
      <c r="E5" s="970" t="s">
        <v>137</v>
      </c>
    </row>
    <row r="6" spans="1:10" ht="24" customHeight="1">
      <c r="A6" s="968"/>
      <c r="B6" s="969"/>
      <c r="C6" s="969"/>
      <c r="D6" s="969"/>
      <c r="E6" s="970"/>
    </row>
    <row r="7" spans="1:10" ht="39.75" customHeight="1">
      <c r="A7" s="862">
        <f>+OBSOLETO!C13</f>
        <v>1</v>
      </c>
      <c r="B7" s="863" t="s">
        <v>791</v>
      </c>
      <c r="C7" s="864">
        <v>1</v>
      </c>
      <c r="D7" s="865" t="s">
        <v>245</v>
      </c>
      <c r="E7" s="866"/>
    </row>
    <row r="8" spans="1:10" ht="39.75" customHeight="1">
      <c r="A8" s="862">
        <v>2</v>
      </c>
      <c r="B8" s="863" t="s">
        <v>1611</v>
      </c>
      <c r="C8" s="864">
        <v>1</v>
      </c>
      <c r="D8" s="865" t="s">
        <v>245</v>
      </c>
      <c r="E8" s="866"/>
    </row>
    <row r="9" spans="1:10" ht="46.5" customHeight="1">
      <c r="A9" s="862">
        <v>3</v>
      </c>
      <c r="B9" s="863" t="s">
        <v>1686</v>
      </c>
      <c r="C9" s="864">
        <v>1</v>
      </c>
      <c r="D9" s="865" t="s">
        <v>245</v>
      </c>
      <c r="E9" s="866"/>
    </row>
    <row r="10" spans="1:10" ht="40.5" customHeight="1">
      <c r="A10" s="862">
        <v>4</v>
      </c>
      <c r="B10" s="863" t="s">
        <v>1612</v>
      </c>
      <c r="C10" s="864">
        <v>1</v>
      </c>
      <c r="D10" s="865" t="s">
        <v>245</v>
      </c>
      <c r="E10" s="866"/>
    </row>
    <row r="11" spans="1:10" ht="40.5" customHeight="1">
      <c r="A11" s="862">
        <v>5</v>
      </c>
      <c r="B11" s="863" t="s">
        <v>1613</v>
      </c>
      <c r="C11" s="864">
        <v>1</v>
      </c>
      <c r="D11" s="865" t="s">
        <v>245</v>
      </c>
      <c r="E11" s="866"/>
    </row>
    <row r="12" spans="1:10" ht="24.75" customHeight="1" thickBot="1">
      <c r="A12" s="971" t="s">
        <v>328</v>
      </c>
      <c r="B12" s="971"/>
      <c r="C12" s="971"/>
      <c r="D12" s="972"/>
      <c r="E12" s="867"/>
      <c r="G12" s="868"/>
    </row>
    <row r="13" spans="1:10" ht="20.25" customHeight="1" thickTop="1">
      <c r="A13" s="962" t="str">
        <f>PLANILHA!A102</f>
        <v>(Um Milhões, trezentos e vinte e dois Mil, setecentos e oitenta e dois Reais e dois Centavos).</v>
      </c>
      <c r="B13" s="962"/>
      <c r="C13" s="962"/>
      <c r="D13" s="962"/>
      <c r="E13" s="962"/>
    </row>
    <row r="14" spans="1:10" ht="15" hidden="1">
      <c r="A14" s="869"/>
      <c r="B14" s="770"/>
    </row>
    <row r="15" spans="1:10" ht="15" hidden="1">
      <c r="A15" s="869"/>
      <c r="B15" s="770"/>
    </row>
    <row r="16" spans="1:10" ht="15">
      <c r="A16" s="869"/>
      <c r="B16" s="770" t="str">
        <f>PLANILHA!B105</f>
        <v>Itapólis, 23 de maio de 2024</v>
      </c>
    </row>
    <row r="17" spans="1:2" ht="15">
      <c r="A17" s="869"/>
      <c r="B17" s="770"/>
    </row>
    <row r="18" spans="1:2" ht="15">
      <c r="A18" s="869"/>
      <c r="B18" s="770"/>
    </row>
    <row r="19" spans="1:2" ht="15">
      <c r="A19" s="869"/>
      <c r="B19" s="770"/>
    </row>
    <row r="20" spans="1:2" ht="15">
      <c r="A20" s="869"/>
      <c r="B20" s="871"/>
    </row>
    <row r="21" spans="1:2" ht="15">
      <c r="A21" s="869"/>
      <c r="B21" s="837" t="s">
        <v>1689</v>
      </c>
    </row>
    <row r="22" spans="1:2" ht="15">
      <c r="A22" s="872"/>
      <c r="B22" s="838" t="s">
        <v>1690</v>
      </c>
    </row>
    <row r="23" spans="1:2" ht="15">
      <c r="A23" s="872"/>
      <c r="B23" s="838" t="s">
        <v>1691</v>
      </c>
    </row>
    <row r="24" spans="1:2" ht="15">
      <c r="A24" s="872"/>
      <c r="B24" s="873"/>
    </row>
    <row r="25" spans="1:2" ht="15">
      <c r="A25" s="872"/>
      <c r="B25" s="873"/>
    </row>
  </sheetData>
  <autoFilter ref="A5:E11"/>
  <mergeCells count="11">
    <mergeCell ref="A1:E1"/>
    <mergeCell ref="A13:E13"/>
    <mergeCell ref="A2:E2"/>
    <mergeCell ref="B3:E3"/>
    <mergeCell ref="B4:E4"/>
    <mergeCell ref="A5:A6"/>
    <mergeCell ref="B5:B6"/>
    <mergeCell ref="C5:C6"/>
    <mergeCell ref="D5:D6"/>
    <mergeCell ref="E5:E6"/>
    <mergeCell ref="A12:D12"/>
  </mergeCells>
  <phoneticPr fontId="80" type="noConversion"/>
  <conditionalFormatting sqref="A7:B11">
    <cfRule type="containsBlanks" dxfId="2" priority="6" stopIfTrue="1">
      <formula>LEN(TRIM(A7))=0</formula>
    </cfRule>
  </conditionalFormatting>
  <printOptions horizontalCentered="1"/>
  <pageMargins left="0.59055118110236227" right="0.59055118110236227" top="0.39370078740157483" bottom="0.59055118110236227" header="0" footer="0"/>
  <pageSetup paperSize="9" scale="80" fitToHeight="0" orientation="landscape" r:id="rId1"/>
  <headerFooter>
    <oddFooter>&amp;C&amp;K000000
 &amp;RPágina &amp;P</oddFooter>
  </headerFooter>
  <drawing r:id="rId2"/>
</worksheet>
</file>

<file path=xl/worksheets/sheet4.xml><?xml version="1.0" encoding="utf-8"?>
<worksheet xmlns="http://schemas.openxmlformats.org/spreadsheetml/2006/main" xmlns:r="http://schemas.openxmlformats.org/officeDocument/2006/relationships">
  <sheetPr codeName="Plan2">
    <pageSetUpPr fitToPage="1"/>
  </sheetPr>
  <dimension ref="B1:AA1576"/>
  <sheetViews>
    <sheetView showGridLines="0" view="pageBreakPreview" topLeftCell="A1417" zoomScale="85" zoomScaleNormal="100" zoomScaleSheetLayoutView="85" workbookViewId="0">
      <selection activeCell="L1459" sqref="L1459"/>
    </sheetView>
  </sheetViews>
  <sheetFormatPr defaultRowHeight="12.75"/>
  <cols>
    <col min="1" max="1" width="1.7109375" style="317" customWidth="1"/>
    <col min="2" max="2" width="2.28515625" style="317" customWidth="1"/>
    <col min="3" max="3" width="7.7109375" style="317" customWidth="1"/>
    <col min="4" max="4" width="9" style="317" customWidth="1"/>
    <col min="5" max="5" width="30.7109375" style="317" customWidth="1"/>
    <col min="6" max="6" width="14.85546875" style="317" customWidth="1"/>
    <col min="7" max="7" width="16.140625" style="317" customWidth="1"/>
    <col min="8" max="8" width="6.42578125" style="317" customWidth="1"/>
    <col min="9" max="9" width="12" style="317" customWidth="1"/>
    <col min="10" max="10" width="11.85546875" style="317" customWidth="1"/>
    <col min="11" max="11" width="10.85546875" style="317" customWidth="1"/>
    <col min="12" max="12" width="8.28515625" style="317" customWidth="1"/>
    <col min="13" max="13" width="9.28515625" style="317" customWidth="1"/>
    <col min="14" max="14" width="8" style="317" customWidth="1"/>
    <col min="15" max="15" width="11.140625" style="317" customWidth="1"/>
    <col min="16" max="16" width="13.5703125" style="317" customWidth="1"/>
    <col min="17" max="17" width="14.42578125" style="317" customWidth="1"/>
    <col min="18" max="18" width="8.28515625" style="236" customWidth="1"/>
    <col min="19" max="19" width="7.42578125" style="236" customWidth="1"/>
    <col min="20" max="20" width="3.85546875" style="317" customWidth="1"/>
    <col min="21" max="21" width="27.42578125" style="317" customWidth="1"/>
    <col min="22" max="22" width="8.7109375" style="317" customWidth="1"/>
    <col min="23" max="23" width="2.28515625" style="317" customWidth="1"/>
    <col min="24" max="24" width="2.7109375" style="317" customWidth="1"/>
    <col min="25" max="25" width="11" style="317" customWidth="1"/>
    <col min="26" max="16384" width="9.140625" style="317"/>
  </cols>
  <sheetData>
    <row r="1" spans="2:23" ht="18">
      <c r="B1" s="4" t="s">
        <v>26</v>
      </c>
      <c r="C1" s="13"/>
      <c r="D1" s="12"/>
      <c r="E1" s="1140"/>
      <c r="F1" s="1140"/>
      <c r="G1" s="1140"/>
      <c r="H1" s="1140"/>
      <c r="I1" s="1140"/>
      <c r="J1" s="1140"/>
      <c r="K1" s="1140"/>
      <c r="L1" s="1140"/>
      <c r="M1" s="1140"/>
      <c r="N1" s="1140"/>
      <c r="O1" s="1141"/>
      <c r="P1" s="1117" t="s">
        <v>1491</v>
      </c>
      <c r="Q1" s="1118"/>
      <c r="R1" s="1118"/>
      <c r="S1" s="1118"/>
      <c r="T1" s="1118"/>
      <c r="U1" s="1118"/>
      <c r="V1" s="1118"/>
      <c r="W1" s="1119"/>
    </row>
    <row r="2" spans="2:23" ht="14.1" customHeight="1">
      <c r="B2" s="5"/>
      <c r="C2" s="1131"/>
      <c r="D2" s="1132"/>
      <c r="E2" s="1132"/>
      <c r="F2" s="1132"/>
      <c r="G2" s="1132"/>
      <c r="H2" s="1132"/>
      <c r="I2" s="1132"/>
      <c r="J2" s="1132"/>
      <c r="K2" s="1132"/>
      <c r="L2" s="1132"/>
      <c r="M2" s="1132"/>
      <c r="N2" s="1132"/>
      <c r="O2" s="1133"/>
      <c r="P2" s="1126" t="s">
        <v>3</v>
      </c>
      <c r="Q2" s="1127"/>
      <c r="R2" s="1127"/>
      <c r="S2" s="1123" t="s">
        <v>1490</v>
      </c>
      <c r="T2" s="1124"/>
      <c r="U2" s="1124"/>
      <c r="V2" s="1124"/>
      <c r="W2" s="1125"/>
    </row>
    <row r="3" spans="2:23" ht="14.1" customHeight="1">
      <c r="B3" s="5"/>
      <c r="C3" s="1131" t="s">
        <v>100</v>
      </c>
      <c r="D3" s="1132"/>
      <c r="E3" s="1132"/>
      <c r="F3" s="1132"/>
      <c r="G3" s="1132"/>
      <c r="H3" s="1132"/>
      <c r="I3" s="1132"/>
      <c r="J3" s="1132"/>
      <c r="K3" s="1132"/>
      <c r="L3" s="1132"/>
      <c r="M3" s="1132"/>
      <c r="N3" s="1132"/>
      <c r="O3" s="1133"/>
      <c r="P3" s="1128" t="s">
        <v>1163</v>
      </c>
      <c r="Q3" s="1121"/>
      <c r="R3" s="1121"/>
      <c r="S3" s="1120" t="s">
        <v>28</v>
      </c>
      <c r="T3" s="1121"/>
      <c r="U3" s="1121"/>
      <c r="V3" s="1121"/>
      <c r="W3" s="1122"/>
    </row>
    <row r="4" spans="2:23" ht="14.1" customHeight="1">
      <c r="B4" s="5"/>
      <c r="C4" s="1134" t="s">
        <v>101</v>
      </c>
      <c r="D4" s="1135"/>
      <c r="E4" s="1135"/>
      <c r="F4" s="1135"/>
      <c r="G4" s="1135"/>
      <c r="H4" s="1135"/>
      <c r="I4" s="1135"/>
      <c r="J4" s="1135"/>
      <c r="K4" s="1135"/>
      <c r="L4" s="1135"/>
      <c r="M4" s="1135"/>
      <c r="N4" s="1135"/>
      <c r="O4" s="1136"/>
      <c r="P4" s="1126" t="s">
        <v>4</v>
      </c>
      <c r="Q4" s="1127"/>
      <c r="R4" s="1127"/>
      <c r="S4" s="1123"/>
      <c r="T4" s="1124"/>
      <c r="U4" s="1124"/>
      <c r="V4" s="1124"/>
      <c r="W4" s="1125"/>
    </row>
    <row r="5" spans="2:23" ht="14.1" customHeight="1" thickBot="1">
      <c r="B5" s="6"/>
      <c r="C5" s="1137"/>
      <c r="D5" s="1138"/>
      <c r="E5" s="1138"/>
      <c r="F5" s="1138"/>
      <c r="G5" s="1138"/>
      <c r="H5" s="1138"/>
      <c r="I5" s="1138"/>
      <c r="J5" s="1138"/>
      <c r="K5" s="1138"/>
      <c r="L5" s="1138"/>
      <c r="M5" s="1138"/>
      <c r="N5" s="1138"/>
      <c r="O5" s="1139"/>
      <c r="P5" s="1129" t="s">
        <v>1492</v>
      </c>
      <c r="Q5" s="1130"/>
      <c r="R5" s="1130"/>
      <c r="S5" s="1142"/>
      <c r="T5" s="1143"/>
      <c r="U5" s="1143"/>
      <c r="V5" s="1143"/>
      <c r="W5" s="1144"/>
    </row>
    <row r="6" spans="2:23" ht="14.1" customHeight="1">
      <c r="B6" s="431"/>
      <c r="C6" s="87"/>
      <c r="D6" s="87"/>
      <c r="E6" s="87"/>
      <c r="F6" s="87"/>
      <c r="G6" s="87"/>
      <c r="H6" s="87"/>
      <c r="I6" s="87"/>
      <c r="J6" s="87"/>
      <c r="K6" s="87"/>
      <c r="L6" s="87"/>
      <c r="M6" s="87"/>
      <c r="N6" s="87"/>
      <c r="O6" s="87"/>
      <c r="P6" s="87"/>
      <c r="Q6" s="87"/>
      <c r="R6" s="87"/>
      <c r="S6" s="87"/>
      <c r="T6" s="87"/>
      <c r="U6" s="87"/>
      <c r="V6" s="87"/>
      <c r="W6" s="432"/>
    </row>
    <row r="7" spans="2:23" ht="14.1" customHeight="1">
      <c r="B7" s="433"/>
      <c r="C7" s="469">
        <v>1</v>
      </c>
      <c r="D7" s="480" t="s">
        <v>366</v>
      </c>
      <c r="E7" s="236"/>
      <c r="F7" s="430"/>
      <c r="G7" s="430"/>
      <c r="H7" s="430"/>
      <c r="I7" s="430"/>
      <c r="J7" s="430"/>
      <c r="K7" s="430"/>
      <c r="L7" s="430"/>
      <c r="M7" s="430"/>
      <c r="N7" s="430"/>
      <c r="O7" s="430"/>
      <c r="P7" s="430"/>
      <c r="Q7" s="430"/>
      <c r="R7" s="430"/>
      <c r="S7" s="430"/>
      <c r="T7" s="430"/>
      <c r="U7" s="430"/>
      <c r="V7" s="435"/>
      <c r="W7" s="432"/>
    </row>
    <row r="8" spans="2:23" ht="14.1" customHeight="1">
      <c r="B8" s="433"/>
      <c r="D8" s="434" t="s">
        <v>7</v>
      </c>
      <c r="E8" s="716" t="s">
        <v>1107</v>
      </c>
      <c r="F8" s="485"/>
      <c r="G8" s="485"/>
      <c r="H8" s="485"/>
      <c r="I8" s="485"/>
      <c r="J8" s="485"/>
      <c r="K8" s="485"/>
      <c r="L8" s="485"/>
      <c r="M8" s="485"/>
      <c r="N8" s="485"/>
      <c r="O8" s="485"/>
      <c r="P8" s="485"/>
      <c r="Q8" s="485"/>
      <c r="R8" s="157">
        <v>1</v>
      </c>
      <c r="S8" s="497" t="s">
        <v>987</v>
      </c>
      <c r="T8" s="430"/>
      <c r="U8" s="430"/>
      <c r="V8" s="435"/>
      <c r="W8" s="432"/>
    </row>
    <row r="9" spans="2:23" ht="14.1" customHeight="1">
      <c r="B9" s="433"/>
      <c r="C9" s="434"/>
      <c r="D9" s="436"/>
      <c r="E9" s="236"/>
      <c r="F9" s="430"/>
      <c r="G9" s="430"/>
      <c r="H9" s="430"/>
      <c r="I9" s="430"/>
      <c r="J9" s="430"/>
      <c r="K9" s="430"/>
      <c r="L9" s="430"/>
      <c r="M9" s="430"/>
      <c r="N9" s="430"/>
      <c r="O9" s="430"/>
      <c r="P9" s="430"/>
      <c r="Q9" s="430"/>
      <c r="R9" s="430"/>
      <c r="S9" s="430"/>
      <c r="T9" s="430"/>
      <c r="U9" s="430"/>
      <c r="V9" s="435"/>
      <c r="W9" s="432"/>
    </row>
    <row r="10" spans="2:23" ht="14.1" customHeight="1">
      <c r="B10" s="433"/>
      <c r="C10" s="469">
        <v>2</v>
      </c>
      <c r="D10" s="480" t="s">
        <v>359</v>
      </c>
      <c r="E10" s="236"/>
      <c r="F10" s="430"/>
      <c r="G10" s="430"/>
      <c r="H10" s="430"/>
      <c r="I10" s="430"/>
      <c r="J10" s="430"/>
      <c r="K10" s="430"/>
      <c r="L10" s="430"/>
      <c r="M10" s="430"/>
      <c r="N10" s="430"/>
      <c r="O10" s="430"/>
      <c r="P10" s="430"/>
      <c r="Q10" s="430"/>
      <c r="R10" s="430"/>
      <c r="S10" s="430"/>
      <c r="T10" s="430"/>
      <c r="U10" s="430"/>
      <c r="V10" s="435"/>
      <c r="W10" s="432"/>
    </row>
    <row r="11" spans="2:23" ht="14.1" customHeight="1">
      <c r="B11" s="433"/>
      <c r="D11" s="434" t="s">
        <v>8</v>
      </c>
      <c r="E11" s="484" t="s">
        <v>1137</v>
      </c>
      <c r="F11" s="430"/>
      <c r="G11" s="430"/>
      <c r="H11" s="430"/>
      <c r="I11" s="430"/>
      <c r="J11" s="430"/>
      <c r="K11" s="430"/>
      <c r="L11" s="430"/>
      <c r="M11" s="430"/>
      <c r="N11" s="430"/>
      <c r="O11" s="430"/>
      <c r="P11" s="430"/>
      <c r="Q11" s="430"/>
      <c r="R11" s="157">
        <v>12</v>
      </c>
      <c r="S11" s="497" t="s">
        <v>987</v>
      </c>
      <c r="T11" s="430"/>
      <c r="U11" s="430"/>
      <c r="V11" s="435"/>
      <c r="W11" s="432"/>
    </row>
    <row r="12" spans="2:23" ht="14.1" customHeight="1">
      <c r="B12" s="433"/>
      <c r="C12" s="434"/>
      <c r="D12" s="436"/>
      <c r="E12" s="236"/>
      <c r="F12" s="430"/>
      <c r="G12" s="430"/>
      <c r="H12" s="430"/>
      <c r="I12" s="430"/>
      <c r="J12" s="430"/>
      <c r="K12" s="430"/>
      <c r="L12" s="430"/>
      <c r="M12" s="430"/>
      <c r="N12" s="430"/>
      <c r="O12" s="430"/>
      <c r="P12" s="430"/>
      <c r="Q12" s="430"/>
      <c r="R12" s="430"/>
      <c r="S12" s="430"/>
      <c r="T12" s="430"/>
      <c r="U12" s="430"/>
      <c r="V12" s="435"/>
      <c r="W12" s="432"/>
    </row>
    <row r="13" spans="2:23" ht="14.1" customHeight="1">
      <c r="B13" s="437"/>
      <c r="C13" s="117">
        <v>1</v>
      </c>
      <c r="D13" s="439" t="s">
        <v>1203</v>
      </c>
      <c r="E13" s="440"/>
      <c r="F13" s="440"/>
      <c r="G13" s="440"/>
      <c r="H13" s="440"/>
      <c r="I13" s="440"/>
      <c r="J13" s="440"/>
      <c r="K13" s="440"/>
      <c r="L13" s="440"/>
      <c r="M13" s="440"/>
      <c r="N13" s="440"/>
      <c r="O13" s="440"/>
      <c r="P13" s="440"/>
      <c r="Q13" s="440"/>
      <c r="R13" s="440"/>
      <c r="S13" s="190"/>
      <c r="T13" s="440"/>
      <c r="U13" s="440"/>
      <c r="V13" s="495"/>
      <c r="W13" s="438"/>
    </row>
    <row r="14" spans="2:23" ht="23.25" customHeight="1">
      <c r="B14" s="437"/>
      <c r="C14" s="439"/>
      <c r="D14" s="31" t="s">
        <v>7</v>
      </c>
      <c r="E14" s="492" t="s">
        <v>170</v>
      </c>
      <c r="F14" s="490"/>
      <c r="G14" s="490"/>
      <c r="H14" s="490"/>
      <c r="I14" s="490"/>
      <c r="J14" s="490"/>
      <c r="K14" s="490"/>
      <c r="L14" s="490"/>
      <c r="M14" s="490"/>
      <c r="N14" s="490"/>
      <c r="O14" s="490"/>
      <c r="P14" s="490"/>
      <c r="Q14" s="491"/>
      <c r="R14" s="157">
        <f>2*8</f>
        <v>16</v>
      </c>
      <c r="S14" s="497" t="s">
        <v>352</v>
      </c>
      <c r="T14" s="408"/>
      <c r="U14" s="408"/>
      <c r="V14" s="407"/>
      <c r="W14" s="438"/>
    </row>
    <row r="15" spans="2:23" ht="14.1" customHeight="1">
      <c r="B15" s="437"/>
      <c r="C15" s="439"/>
      <c r="D15" s="31" t="s">
        <v>124</v>
      </c>
      <c r="E15" s="44" t="s">
        <v>1139</v>
      </c>
      <c r="F15" s="408"/>
      <c r="G15" s="408"/>
      <c r="H15" s="408"/>
      <c r="I15" s="408"/>
      <c r="J15" s="408"/>
      <c r="K15" s="408"/>
      <c r="L15" s="408"/>
      <c r="M15" s="408"/>
      <c r="N15" s="408"/>
      <c r="O15" s="408"/>
      <c r="P15" s="408"/>
      <c r="Q15" s="408"/>
      <c r="R15" s="157">
        <f>(20*2+20*2)*2.2</f>
        <v>176</v>
      </c>
      <c r="S15" s="497" t="s">
        <v>17</v>
      </c>
      <c r="T15" s="408"/>
      <c r="U15" s="408"/>
      <c r="V15" s="407"/>
      <c r="W15" s="438"/>
    </row>
    <row r="16" spans="2:23" ht="27" customHeight="1">
      <c r="B16" s="437"/>
      <c r="C16" s="439"/>
      <c r="D16" s="31" t="s">
        <v>125</v>
      </c>
      <c r="E16" s="492" t="s">
        <v>171</v>
      </c>
      <c r="F16" s="492"/>
      <c r="G16" s="492"/>
      <c r="H16" s="492"/>
      <c r="I16" s="492"/>
      <c r="J16" s="492"/>
      <c r="K16" s="492"/>
      <c r="L16" s="492"/>
      <c r="M16" s="492"/>
      <c r="N16" s="492"/>
      <c r="O16" s="492"/>
      <c r="P16" s="492"/>
      <c r="Q16" s="493"/>
      <c r="R16" s="157">
        <v>12</v>
      </c>
      <c r="S16" s="497" t="s">
        <v>126</v>
      </c>
      <c r="T16" s="408"/>
      <c r="U16" s="408"/>
      <c r="V16" s="407"/>
      <c r="W16" s="438"/>
    </row>
    <row r="17" spans="2:23" ht="14.1" customHeight="1">
      <c r="B17" s="437"/>
      <c r="C17" s="439"/>
      <c r="D17" s="31" t="s">
        <v>127</v>
      </c>
      <c r="E17" s="492" t="s">
        <v>172</v>
      </c>
      <c r="F17" s="492"/>
      <c r="G17" s="492"/>
      <c r="H17" s="492"/>
      <c r="I17" s="492"/>
      <c r="J17" s="492"/>
      <c r="K17" s="492"/>
      <c r="L17" s="492"/>
      <c r="M17" s="492"/>
      <c r="N17" s="492"/>
      <c r="O17" s="492"/>
      <c r="P17" s="492"/>
      <c r="Q17" s="493"/>
      <c r="R17" s="157">
        <v>12</v>
      </c>
      <c r="S17" s="497" t="s">
        <v>126</v>
      </c>
      <c r="T17" s="408"/>
      <c r="U17" s="408"/>
      <c r="V17" s="407"/>
      <c r="W17" s="438"/>
    </row>
    <row r="18" spans="2:23" ht="14.1" customHeight="1">
      <c r="B18" s="437"/>
      <c r="C18" s="439"/>
      <c r="D18" s="31" t="s">
        <v>1011</v>
      </c>
      <c r="E18" s="44" t="s">
        <v>350</v>
      </c>
      <c r="F18" s="408"/>
      <c r="G18" s="408"/>
      <c r="H18" s="408"/>
      <c r="I18" s="408"/>
      <c r="J18" s="408"/>
      <c r="K18" s="408"/>
      <c r="L18" s="408"/>
      <c r="M18" s="408"/>
      <c r="N18" s="408"/>
      <c r="O18" s="408"/>
      <c r="P18" s="408"/>
      <c r="Q18" s="408"/>
      <c r="R18" s="157">
        <v>12</v>
      </c>
      <c r="S18" s="497" t="s">
        <v>126</v>
      </c>
      <c r="T18" s="408"/>
      <c r="U18" s="408"/>
      <c r="V18" s="407"/>
      <c r="W18" s="438"/>
    </row>
    <row r="19" spans="2:23" ht="14.1" customHeight="1">
      <c r="B19" s="437"/>
      <c r="C19" s="439"/>
      <c r="D19" s="31" t="s">
        <v>1012</v>
      </c>
      <c r="E19" s="44" t="s">
        <v>1156</v>
      </c>
      <c r="F19" s="408"/>
      <c r="G19" s="408"/>
      <c r="H19" s="408"/>
      <c r="I19" s="408"/>
      <c r="J19" s="408"/>
      <c r="K19" s="408"/>
      <c r="L19" s="408"/>
      <c r="M19" s="408"/>
      <c r="N19" s="408"/>
      <c r="O19" s="408"/>
      <c r="P19" s="408"/>
      <c r="Q19" s="408"/>
      <c r="R19" s="157">
        <v>12</v>
      </c>
      <c r="S19" s="497" t="s">
        <v>126</v>
      </c>
      <c r="T19" s="408"/>
      <c r="U19" s="408"/>
      <c r="V19" s="407"/>
      <c r="W19" s="438"/>
    </row>
    <row r="20" spans="2:23" ht="26.25" customHeight="1">
      <c r="B20" s="437"/>
      <c r="C20" s="439"/>
      <c r="D20" s="31" t="s">
        <v>1447</v>
      </c>
      <c r="E20" s="492" t="s">
        <v>173</v>
      </c>
      <c r="F20" s="492"/>
      <c r="G20" s="492"/>
      <c r="H20" s="492"/>
      <c r="I20" s="492"/>
      <c r="J20" s="492"/>
      <c r="K20" s="492"/>
      <c r="L20" s="492"/>
      <c r="M20" s="492"/>
      <c r="N20" s="492"/>
      <c r="O20" s="492"/>
      <c r="P20" s="492"/>
      <c r="Q20" s="493"/>
      <c r="R20" s="157">
        <v>1</v>
      </c>
      <c r="S20" s="497" t="s">
        <v>987</v>
      </c>
      <c r="T20" s="408"/>
      <c r="U20" s="408"/>
      <c r="V20" s="407"/>
      <c r="W20" s="438"/>
    </row>
    <row r="21" spans="2:23" ht="14.1" customHeight="1">
      <c r="B21" s="437"/>
      <c r="C21" s="439"/>
      <c r="D21" s="31" t="s">
        <v>1448</v>
      </c>
      <c r="E21" s="44" t="s">
        <v>174</v>
      </c>
      <c r="F21" s="408"/>
      <c r="G21" s="408"/>
      <c r="H21" s="408"/>
      <c r="I21" s="408"/>
      <c r="J21" s="408"/>
      <c r="K21" s="408"/>
      <c r="L21" s="408"/>
      <c r="M21" s="408"/>
      <c r="N21" s="408"/>
      <c r="O21" s="408"/>
      <c r="P21" s="408"/>
      <c r="Q21" s="408"/>
      <c r="R21" s="157">
        <v>1</v>
      </c>
      <c r="S21" s="497" t="s">
        <v>987</v>
      </c>
      <c r="T21" s="408"/>
      <c r="U21" s="408"/>
      <c r="V21" s="407"/>
      <c r="W21" s="438"/>
    </row>
    <row r="22" spans="2:23" ht="12" customHeight="1">
      <c r="B22" s="437"/>
      <c r="C22" s="439"/>
      <c r="D22" s="31" t="s">
        <v>1449</v>
      </c>
      <c r="E22" s="44" t="s">
        <v>175</v>
      </c>
      <c r="F22" s="407"/>
      <c r="G22" s="407"/>
      <c r="H22" s="407"/>
      <c r="I22" s="407"/>
      <c r="J22" s="407"/>
      <c r="K22" s="407"/>
      <c r="L22" s="407"/>
      <c r="M22" s="407"/>
      <c r="N22" s="407"/>
      <c r="O22" s="407"/>
      <c r="P22" s="407"/>
      <c r="Q22" s="407"/>
      <c r="R22" s="157">
        <f>6*4</f>
        <v>24</v>
      </c>
      <c r="S22" s="497" t="s">
        <v>17</v>
      </c>
      <c r="T22" s="408"/>
      <c r="U22" s="408"/>
      <c r="V22" s="407"/>
      <c r="W22" s="438"/>
    </row>
    <row r="23" spans="2:23" ht="16.5" customHeight="1">
      <c r="B23" s="437"/>
      <c r="C23" s="439"/>
      <c r="D23" s="31" t="s">
        <v>1450</v>
      </c>
      <c r="E23" s="44" t="s">
        <v>1396</v>
      </c>
      <c r="F23" s="44"/>
      <c r="G23" s="44"/>
      <c r="H23" s="44"/>
      <c r="I23" s="44"/>
      <c r="J23" s="44"/>
      <c r="K23" s="44"/>
      <c r="L23" s="44"/>
      <c r="M23" s="44"/>
      <c r="N23" s="44"/>
      <c r="O23" s="44"/>
      <c r="P23" s="44"/>
      <c r="Q23" s="44"/>
      <c r="R23" s="157">
        <f>8*22*R16</f>
        <v>2112</v>
      </c>
      <c r="S23" s="497" t="s">
        <v>352</v>
      </c>
      <c r="T23" s="408"/>
      <c r="U23" s="408"/>
      <c r="V23" s="407"/>
      <c r="W23" s="438"/>
    </row>
    <row r="24" spans="2:23" ht="16.5" customHeight="1">
      <c r="B24" s="437"/>
      <c r="C24" s="439"/>
      <c r="D24" s="31"/>
      <c r="E24" s="44"/>
      <c r="F24" s="44"/>
      <c r="G24" s="44"/>
      <c r="H24" s="44"/>
      <c r="I24" s="44"/>
      <c r="J24" s="44"/>
      <c r="K24" s="44"/>
      <c r="L24" s="44"/>
      <c r="M24" s="44"/>
      <c r="N24" s="44"/>
      <c r="O24" s="44"/>
      <c r="P24" s="44"/>
      <c r="Q24" s="44"/>
      <c r="R24" s="158"/>
      <c r="S24" s="486"/>
      <c r="T24" s="408"/>
      <c r="U24" s="408"/>
      <c r="V24" s="407"/>
      <c r="W24" s="438"/>
    </row>
    <row r="25" spans="2:23" ht="14.1" customHeight="1">
      <c r="B25" s="437"/>
      <c r="C25" s="439"/>
      <c r="D25" s="660" t="s">
        <v>1158</v>
      </c>
      <c r="E25" s="44"/>
      <c r="F25" s="408"/>
      <c r="G25" s="408"/>
      <c r="H25" s="408"/>
      <c r="I25" s="408"/>
      <c r="J25" s="408"/>
      <c r="K25" s="408"/>
      <c r="L25" s="408"/>
      <c r="M25" s="408"/>
      <c r="N25" s="408"/>
      <c r="O25" s="408"/>
      <c r="P25" s="408"/>
      <c r="Q25" s="408"/>
      <c r="R25" s="158"/>
      <c r="S25" s="486"/>
      <c r="T25" s="408"/>
      <c r="U25" s="408"/>
      <c r="V25" s="407"/>
      <c r="W25" s="438"/>
    </row>
    <row r="26" spans="2:23" ht="14.1" customHeight="1">
      <c r="B26" s="437"/>
      <c r="C26" s="439"/>
      <c r="D26" s="496"/>
      <c r="E26" s="44"/>
      <c r="F26" s="408"/>
      <c r="G26" s="408"/>
      <c r="H26" s="408"/>
      <c r="I26" s="408"/>
      <c r="J26" s="408"/>
      <c r="K26" s="408"/>
      <c r="L26" s="408"/>
      <c r="M26" s="408"/>
      <c r="N26" s="408"/>
      <c r="O26" s="408"/>
      <c r="P26" s="408"/>
      <c r="Q26" s="408"/>
      <c r="R26" s="158"/>
      <c r="S26" s="486"/>
      <c r="T26" s="408"/>
      <c r="U26" s="408"/>
      <c r="V26" s="407"/>
      <c r="W26" s="438"/>
    </row>
    <row r="27" spans="2:23" ht="14.1" customHeight="1">
      <c r="B27" s="437"/>
      <c r="C27" s="651">
        <v>4</v>
      </c>
      <c r="D27" s="720" t="s">
        <v>1464</v>
      </c>
      <c r="E27" s="44"/>
      <c r="F27" s="408"/>
      <c r="G27" s="408"/>
      <c r="H27" s="408"/>
      <c r="I27" s="408"/>
      <c r="J27" s="408"/>
      <c r="K27" s="408"/>
      <c r="L27" s="408"/>
      <c r="M27" s="408"/>
      <c r="N27" s="408"/>
      <c r="O27" s="408"/>
      <c r="P27" s="408"/>
      <c r="Q27" s="408"/>
      <c r="R27" s="158"/>
      <c r="S27" s="486"/>
      <c r="T27" s="408"/>
      <c r="U27" s="408"/>
      <c r="V27" s="407"/>
      <c r="W27" s="438"/>
    </row>
    <row r="28" spans="2:23" ht="14.1" customHeight="1">
      <c r="B28" s="437"/>
      <c r="C28" s="656"/>
      <c r="D28" s="659"/>
      <c r="E28" s="44"/>
      <c r="F28" s="408"/>
      <c r="G28" s="408"/>
      <c r="H28" s="408"/>
      <c r="I28" s="408"/>
      <c r="J28" s="408"/>
      <c r="K28" s="408"/>
      <c r="L28" s="408"/>
      <c r="M28" s="408"/>
      <c r="N28" s="408"/>
      <c r="O28" s="408"/>
      <c r="P28" s="408"/>
      <c r="Q28" s="408"/>
      <c r="R28" s="158"/>
      <c r="S28" s="486"/>
      <c r="T28" s="408"/>
      <c r="U28" s="408"/>
      <c r="V28" s="407"/>
      <c r="W28" s="438"/>
    </row>
    <row r="29" spans="2:23" ht="14.1" customHeight="1">
      <c r="B29" s="437"/>
      <c r="C29" s="141" t="s">
        <v>203</v>
      </c>
      <c r="D29" s="440" t="s">
        <v>759</v>
      </c>
      <c r="E29" s="44"/>
      <c r="F29" s="408"/>
      <c r="G29" s="408"/>
      <c r="H29" s="408"/>
      <c r="I29" s="408"/>
      <c r="J29" s="408"/>
      <c r="K29" s="408"/>
      <c r="L29" s="408"/>
      <c r="M29" s="408"/>
      <c r="N29" s="408"/>
      <c r="O29" s="408"/>
      <c r="P29" s="408"/>
      <c r="Q29" s="408"/>
      <c r="R29" s="158"/>
      <c r="S29" s="486"/>
      <c r="T29" s="408"/>
      <c r="U29" s="408"/>
      <c r="V29" s="407"/>
      <c r="W29" s="438"/>
    </row>
    <row r="30" spans="2:23" ht="14.1" customHeight="1">
      <c r="B30" s="437"/>
      <c r="C30" s="439"/>
      <c r="D30" s="31" t="s">
        <v>271</v>
      </c>
      <c r="E30" s="44" t="s">
        <v>1394</v>
      </c>
      <c r="F30" s="408"/>
      <c r="G30" s="408"/>
      <c r="H30" s="408"/>
      <c r="I30" s="408"/>
      <c r="J30" s="408"/>
      <c r="K30" s="408"/>
      <c r="L30" s="408"/>
      <c r="M30" s="408"/>
      <c r="N30" s="408"/>
      <c r="O30" s="408"/>
      <c r="P30" s="408"/>
      <c r="Q30" s="408"/>
      <c r="R30" s="157">
        <f>2*8</f>
        <v>16</v>
      </c>
      <c r="S30" s="497" t="s">
        <v>352</v>
      </c>
      <c r="T30" s="408"/>
      <c r="U30" s="408"/>
      <c r="V30" s="407"/>
      <c r="W30" s="438"/>
    </row>
    <row r="31" spans="2:23" ht="14.1" customHeight="1">
      <c r="B31" s="437"/>
      <c r="C31" s="439"/>
      <c r="D31" s="31" t="s">
        <v>272</v>
      </c>
      <c r="E31" s="44" t="s">
        <v>1395</v>
      </c>
      <c r="F31" s="408"/>
      <c r="G31" s="408"/>
      <c r="H31" s="408"/>
      <c r="I31" s="408"/>
      <c r="J31" s="408"/>
      <c r="K31" s="408"/>
      <c r="L31" s="408"/>
      <c r="M31" s="408"/>
      <c r="N31" s="408"/>
      <c r="O31" s="408"/>
      <c r="P31" s="408"/>
      <c r="Q31" s="408"/>
      <c r="R31" s="157">
        <f>2*8</f>
        <v>16</v>
      </c>
      <c r="S31" s="497" t="s">
        <v>352</v>
      </c>
      <c r="T31" s="408"/>
      <c r="U31" s="408"/>
      <c r="V31" s="407"/>
      <c r="W31" s="438"/>
    </row>
    <row r="32" spans="2:23" ht="14.1" customHeight="1">
      <c r="B32" s="437"/>
      <c r="C32" s="439"/>
      <c r="D32" s="31"/>
      <c r="E32" s="44"/>
      <c r="F32" s="408"/>
      <c r="G32" s="408"/>
      <c r="H32" s="408"/>
      <c r="I32" s="408"/>
      <c r="J32" s="408"/>
      <c r="K32" s="408"/>
      <c r="L32" s="408"/>
      <c r="M32" s="408"/>
      <c r="N32" s="408"/>
      <c r="O32" s="408"/>
      <c r="P32" s="408"/>
      <c r="Q32" s="408"/>
      <c r="R32" s="158"/>
      <c r="S32" s="486"/>
      <c r="T32" s="408"/>
      <c r="U32" s="408"/>
      <c r="V32" s="407"/>
      <c r="W32" s="438"/>
    </row>
    <row r="33" spans="2:23" s="731" customFormat="1" ht="14.1" customHeight="1">
      <c r="B33" s="721"/>
      <c r="C33" s="722" t="s">
        <v>206</v>
      </c>
      <c r="D33" s="723" t="s">
        <v>1451</v>
      </c>
      <c r="E33" s="724"/>
      <c r="F33" s="725"/>
      <c r="G33" s="725"/>
      <c r="H33" s="725"/>
      <c r="I33" s="725"/>
      <c r="J33" s="725"/>
      <c r="K33" s="725"/>
      <c r="L33" s="725"/>
      <c r="M33" s="725"/>
      <c r="N33" s="725"/>
      <c r="O33" s="725"/>
      <c r="P33" s="725"/>
      <c r="Q33" s="725"/>
      <c r="R33" s="726"/>
      <c r="S33" s="727"/>
      <c r="T33" s="728"/>
      <c r="U33" s="728"/>
      <c r="V33" s="729"/>
      <c r="W33" s="730"/>
    </row>
    <row r="34" spans="2:23" ht="14.1" customHeight="1">
      <c r="B34" s="437"/>
      <c r="C34" s="439"/>
      <c r="D34" s="403" t="s">
        <v>274</v>
      </c>
      <c r="E34" s="123" t="s">
        <v>1159</v>
      </c>
      <c r="F34" s="403"/>
      <c r="G34" s="395"/>
      <c r="H34" s="395"/>
      <c r="I34" s="395"/>
      <c r="J34" s="395"/>
      <c r="K34" s="395"/>
      <c r="L34" s="395"/>
      <c r="M34" s="395"/>
      <c r="N34" s="395"/>
      <c r="O34" s="395"/>
      <c r="P34" s="395"/>
      <c r="Q34" s="395"/>
      <c r="R34" s="157">
        <f>4*2</f>
        <v>8</v>
      </c>
      <c r="S34" s="11" t="s">
        <v>352</v>
      </c>
      <c r="T34" s="408"/>
      <c r="U34" s="408"/>
      <c r="V34" s="407"/>
      <c r="W34" s="438"/>
    </row>
    <row r="35" spans="2:23" ht="14.1" customHeight="1">
      <c r="B35" s="437"/>
      <c r="C35" s="439"/>
      <c r="D35" s="403" t="s">
        <v>379</v>
      </c>
      <c r="E35" s="8" t="s">
        <v>1160</v>
      </c>
      <c r="F35" s="403"/>
      <c r="G35" s="395"/>
      <c r="H35" s="395"/>
      <c r="I35" s="395"/>
      <c r="J35" s="395"/>
      <c r="K35" s="395"/>
      <c r="L35" s="395"/>
      <c r="M35" s="395"/>
      <c r="N35" s="395"/>
      <c r="O35" s="395"/>
      <c r="P35" s="395"/>
      <c r="Q35" s="399"/>
      <c r="R35" s="157">
        <f>8*2</f>
        <v>16</v>
      </c>
      <c r="S35" s="11" t="s">
        <v>352</v>
      </c>
      <c r="T35" s="408"/>
      <c r="U35" s="408"/>
      <c r="V35" s="407"/>
      <c r="W35" s="438"/>
    </row>
    <row r="36" spans="2:23" ht="14.1" customHeight="1">
      <c r="B36" s="437"/>
      <c r="C36" s="439"/>
      <c r="D36" s="403" t="s">
        <v>380</v>
      </c>
      <c r="E36" s="8" t="s">
        <v>1161</v>
      </c>
      <c r="F36" s="403"/>
      <c r="G36" s="395"/>
      <c r="H36" s="395"/>
      <c r="I36" s="395"/>
      <c r="J36" s="395"/>
      <c r="K36" s="395"/>
      <c r="L36" s="395"/>
      <c r="M36" s="395"/>
      <c r="N36" s="395"/>
      <c r="O36" s="395"/>
      <c r="P36" s="395"/>
      <c r="Q36" s="399"/>
      <c r="R36" s="157">
        <f>2*8*1</f>
        <v>16</v>
      </c>
      <c r="S36" s="11" t="s">
        <v>352</v>
      </c>
      <c r="T36" s="408"/>
      <c r="U36" s="408"/>
      <c r="V36" s="407"/>
      <c r="W36" s="438"/>
    </row>
    <row r="37" spans="2:23" ht="14.1" customHeight="1">
      <c r="B37" s="437"/>
      <c r="C37" s="439"/>
      <c r="D37" s="403" t="s">
        <v>381</v>
      </c>
      <c r="E37" s="8" t="s">
        <v>1162</v>
      </c>
      <c r="F37" s="395"/>
      <c r="G37" s="395"/>
      <c r="H37" s="395"/>
      <c r="I37" s="395"/>
      <c r="J37" s="395"/>
      <c r="K37" s="395"/>
      <c r="L37" s="395"/>
      <c r="M37" s="395"/>
      <c r="N37" s="395"/>
      <c r="O37" s="395"/>
      <c r="P37" s="395"/>
      <c r="Q37" s="399"/>
      <c r="R37" s="157">
        <f>8*2*1</f>
        <v>16</v>
      </c>
      <c r="S37" s="11" t="s">
        <v>352</v>
      </c>
      <c r="T37" s="408"/>
      <c r="U37" s="408"/>
      <c r="V37" s="407"/>
      <c r="W37" s="438"/>
    </row>
    <row r="38" spans="2:23" ht="14.1" customHeight="1">
      <c r="B38" s="437"/>
      <c r="C38" s="439"/>
      <c r="D38" s="403"/>
      <c r="E38" s="8"/>
      <c r="F38" s="395"/>
      <c r="G38" s="395"/>
      <c r="H38" s="395"/>
      <c r="I38" s="395"/>
      <c r="J38" s="395"/>
      <c r="K38" s="395"/>
      <c r="L38" s="395"/>
      <c r="M38" s="395"/>
      <c r="N38" s="395"/>
      <c r="O38" s="395"/>
      <c r="P38" s="395"/>
      <c r="Q38" s="399"/>
      <c r="R38" s="157">
        <f>8*2</f>
        <v>16</v>
      </c>
      <c r="S38" s="11" t="s">
        <v>352</v>
      </c>
      <c r="T38" s="408"/>
      <c r="U38" s="408"/>
      <c r="V38" s="407"/>
      <c r="W38" s="438"/>
    </row>
    <row r="39" spans="2:23" ht="14.1" customHeight="1">
      <c r="B39" s="437"/>
      <c r="C39" s="439"/>
      <c r="D39" s="403"/>
      <c r="E39" s="86"/>
      <c r="F39" s="395"/>
      <c r="G39" s="395"/>
      <c r="H39" s="395"/>
      <c r="I39" s="395"/>
      <c r="J39" s="395"/>
      <c r="K39" s="395"/>
      <c r="L39" s="395"/>
      <c r="M39" s="395"/>
      <c r="N39" s="395"/>
      <c r="O39" s="395"/>
      <c r="P39" s="395"/>
      <c r="Q39" s="395"/>
      <c r="R39" s="158"/>
      <c r="S39" s="156"/>
      <c r="T39" s="408"/>
      <c r="U39" s="408"/>
      <c r="V39" s="407"/>
      <c r="W39" s="438"/>
    </row>
    <row r="40" spans="2:23" ht="14.1" customHeight="1">
      <c r="B40" s="437"/>
      <c r="C40" s="141" t="s">
        <v>410</v>
      </c>
      <c r="D40" s="396" t="s">
        <v>1202</v>
      </c>
      <c r="E40" s="86"/>
      <c r="F40" s="395"/>
      <c r="G40" s="395"/>
      <c r="H40" s="395"/>
      <c r="I40" s="395"/>
      <c r="J40" s="395"/>
      <c r="K40" s="395"/>
      <c r="L40" s="395"/>
      <c r="M40" s="395"/>
      <c r="N40" s="395"/>
      <c r="O40" s="395"/>
      <c r="P40" s="395"/>
      <c r="Q40" s="395"/>
      <c r="R40" s="158"/>
      <c r="S40" s="156"/>
      <c r="T40" s="408"/>
      <c r="U40" s="408"/>
      <c r="V40" s="407"/>
      <c r="W40" s="438"/>
    </row>
    <row r="41" spans="2:23" ht="14.1" customHeight="1">
      <c r="B41" s="437"/>
      <c r="C41" s="439"/>
      <c r="D41" s="403" t="s">
        <v>412</v>
      </c>
      <c r="E41" s="123" t="s">
        <v>1159</v>
      </c>
      <c r="F41" s="395"/>
      <c r="G41" s="395"/>
      <c r="H41" s="395"/>
      <c r="I41" s="395"/>
      <c r="J41" s="395"/>
      <c r="K41" s="395"/>
      <c r="L41" s="395"/>
      <c r="M41" s="395"/>
      <c r="N41" s="395"/>
      <c r="O41" s="395"/>
      <c r="P41" s="395"/>
      <c r="Q41" s="395"/>
      <c r="R41" s="157">
        <f>4*2</f>
        <v>8</v>
      </c>
      <c r="S41" s="156" t="s">
        <v>352</v>
      </c>
      <c r="T41" s="408"/>
      <c r="U41" s="408"/>
      <c r="V41" s="407"/>
      <c r="W41" s="438"/>
    </row>
    <row r="42" spans="2:23" ht="14.1" customHeight="1">
      <c r="B42" s="437"/>
      <c r="C42" s="439"/>
      <c r="D42" s="403" t="s">
        <v>413</v>
      </c>
      <c r="E42" s="8" t="s">
        <v>1161</v>
      </c>
      <c r="F42" s="395"/>
      <c r="G42" s="395"/>
      <c r="H42" s="395"/>
      <c r="I42" s="395"/>
      <c r="J42" s="395"/>
      <c r="K42" s="395"/>
      <c r="L42" s="395"/>
      <c r="M42" s="395"/>
      <c r="N42" s="395"/>
      <c r="O42" s="395"/>
      <c r="P42" s="395"/>
      <c r="Q42" s="395"/>
      <c r="R42" s="157">
        <f>8*2*1</f>
        <v>16</v>
      </c>
      <c r="S42" s="156" t="s">
        <v>352</v>
      </c>
      <c r="T42" s="408"/>
      <c r="U42" s="408"/>
      <c r="V42" s="407"/>
      <c r="W42" s="438"/>
    </row>
    <row r="43" spans="2:23" ht="14.1" customHeight="1">
      <c r="B43" s="437"/>
      <c r="C43" s="439"/>
      <c r="D43" s="403" t="s">
        <v>414</v>
      </c>
      <c r="E43" s="8" t="s">
        <v>1162</v>
      </c>
      <c r="F43" s="395"/>
      <c r="G43" s="395"/>
      <c r="H43" s="395"/>
      <c r="I43" s="395"/>
      <c r="J43" s="395"/>
      <c r="K43" s="395"/>
      <c r="L43" s="395"/>
      <c r="M43" s="395"/>
      <c r="N43" s="395"/>
      <c r="O43" s="395"/>
      <c r="P43" s="395"/>
      <c r="Q43" s="395"/>
      <c r="R43" s="157">
        <f>8*2*1</f>
        <v>16</v>
      </c>
      <c r="S43" s="156" t="s">
        <v>352</v>
      </c>
      <c r="T43" s="408"/>
      <c r="U43" s="408"/>
      <c r="V43" s="407"/>
      <c r="W43" s="438"/>
    </row>
    <row r="44" spans="2:23">
      <c r="B44" s="437"/>
      <c r="C44" s="439"/>
      <c r="Q44" s="395"/>
      <c r="R44" s="158"/>
      <c r="S44" s="156"/>
      <c r="T44" s="408"/>
      <c r="U44" s="408"/>
      <c r="V44" s="407"/>
      <c r="W44" s="438"/>
    </row>
    <row r="45" spans="2:23">
      <c r="B45" s="437"/>
      <c r="C45" s="439"/>
      <c r="Q45" s="395"/>
      <c r="R45" s="158"/>
      <c r="S45" s="403"/>
      <c r="T45" s="408"/>
      <c r="U45" s="408"/>
      <c r="V45" s="407"/>
      <c r="W45" s="438"/>
    </row>
    <row r="46" spans="2:23" ht="14.1" customHeight="1">
      <c r="B46" s="437"/>
      <c r="C46" s="651">
        <v>5</v>
      </c>
      <c r="D46" s="654" t="s">
        <v>1164</v>
      </c>
      <c r="E46" s="44"/>
      <c r="F46" s="408"/>
      <c r="G46" s="408"/>
      <c r="H46" s="408"/>
      <c r="I46" s="408"/>
      <c r="J46" s="408"/>
      <c r="K46" s="408"/>
      <c r="L46" s="408"/>
      <c r="M46" s="408"/>
      <c r="N46" s="408"/>
      <c r="O46" s="408"/>
      <c r="P46" s="408"/>
      <c r="Q46" s="408"/>
      <c r="R46" s="158"/>
      <c r="S46" s="486"/>
      <c r="T46" s="408"/>
      <c r="U46" s="408"/>
      <c r="V46" s="407"/>
      <c r="W46" s="438"/>
    </row>
    <row r="47" spans="2:23" ht="14.1" customHeight="1">
      <c r="B47" s="437"/>
      <c r="C47" s="658"/>
      <c r="D47" s="659"/>
      <c r="E47" s="44"/>
      <c r="F47" s="407"/>
      <c r="G47" s="407"/>
      <c r="H47" s="407"/>
      <c r="I47" s="407"/>
      <c r="J47" s="407"/>
      <c r="K47" s="407"/>
      <c r="L47" s="407"/>
      <c r="M47" s="407"/>
      <c r="N47" s="407"/>
      <c r="O47" s="407"/>
      <c r="P47" s="407"/>
      <c r="Q47" s="407"/>
      <c r="R47" s="158"/>
      <c r="S47" s="403"/>
      <c r="T47" s="407"/>
      <c r="U47" s="407"/>
      <c r="V47" s="407"/>
      <c r="W47" s="438"/>
    </row>
    <row r="48" spans="2:23" ht="14.1" customHeight="1">
      <c r="B48" s="437"/>
      <c r="C48" s="1060" t="s">
        <v>27</v>
      </c>
      <c r="D48" s="1071"/>
      <c r="E48" s="1071"/>
      <c r="F48" s="1071"/>
      <c r="G48" s="1071"/>
      <c r="H48" s="1061"/>
      <c r="I48" s="1060" t="s">
        <v>30</v>
      </c>
      <c r="J48" s="1061"/>
      <c r="K48" s="1060" t="s">
        <v>20</v>
      </c>
      <c r="L48" s="1061"/>
      <c r="M48" s="1060" t="s">
        <v>152</v>
      </c>
      <c r="N48" s="1061"/>
      <c r="O48" s="1060" t="s">
        <v>47</v>
      </c>
      <c r="P48" s="1061"/>
      <c r="Q48" s="1060" t="s">
        <v>48</v>
      </c>
      <c r="R48" s="1061"/>
      <c r="S48" s="1060" t="s">
        <v>33</v>
      </c>
      <c r="T48" s="1061"/>
      <c r="U48" s="1060" t="s">
        <v>46</v>
      </c>
      <c r="V48" s="1061"/>
      <c r="W48" s="438"/>
    </row>
    <row r="49" spans="2:23" ht="14.1" customHeight="1">
      <c r="B49" s="437"/>
      <c r="C49" s="1062"/>
      <c r="D49" s="1072"/>
      <c r="E49" s="1072"/>
      <c r="F49" s="1072"/>
      <c r="G49" s="1072"/>
      <c r="H49" s="1063"/>
      <c r="I49" s="1062"/>
      <c r="J49" s="1063"/>
      <c r="K49" s="1062"/>
      <c r="L49" s="1063"/>
      <c r="M49" s="1062"/>
      <c r="N49" s="1063"/>
      <c r="O49" s="1062"/>
      <c r="P49" s="1063"/>
      <c r="Q49" s="1062"/>
      <c r="R49" s="1063"/>
      <c r="S49" s="1062"/>
      <c r="T49" s="1063"/>
      <c r="U49" s="1062"/>
      <c r="V49" s="1063"/>
      <c r="W49" s="438"/>
    </row>
    <row r="50" spans="2:23" ht="14.1" customHeight="1">
      <c r="B50" s="437"/>
      <c r="C50" s="1113" t="s">
        <v>29</v>
      </c>
      <c r="D50" s="1114"/>
      <c r="E50" s="1114"/>
      <c r="F50" s="1114"/>
      <c r="G50" s="1114"/>
      <c r="H50" s="1114"/>
      <c r="I50" s="1099">
        <v>3</v>
      </c>
      <c r="J50" s="1100"/>
      <c r="K50" s="1111">
        <v>2</v>
      </c>
      <c r="L50" s="1112"/>
      <c r="M50" s="1103">
        <v>2</v>
      </c>
      <c r="N50" s="1095" t="s">
        <v>0</v>
      </c>
      <c r="O50" s="1109">
        <v>1.5</v>
      </c>
      <c r="P50" s="1095" t="s">
        <v>0</v>
      </c>
      <c r="Q50" s="1103">
        <f>I50*K50*M50</f>
        <v>12</v>
      </c>
      <c r="R50" s="1105" t="s">
        <v>17</v>
      </c>
      <c r="S50" s="1107">
        <f>I50*K50*M50*O50</f>
        <v>18</v>
      </c>
      <c r="T50" s="1095" t="s">
        <v>18</v>
      </c>
      <c r="U50" s="1064" t="s">
        <v>28</v>
      </c>
      <c r="V50" s="1097"/>
      <c r="W50" s="438"/>
    </row>
    <row r="51" spans="2:23" ht="14.1" customHeight="1">
      <c r="B51" s="437"/>
      <c r="C51" s="1115"/>
      <c r="D51" s="1116"/>
      <c r="E51" s="1116"/>
      <c r="F51" s="1116"/>
      <c r="G51" s="1116"/>
      <c r="H51" s="1116"/>
      <c r="I51" s="1101"/>
      <c r="J51" s="1102"/>
      <c r="K51" s="1101"/>
      <c r="L51" s="1102"/>
      <c r="M51" s="1104"/>
      <c r="N51" s="1096"/>
      <c r="O51" s="1110"/>
      <c r="P51" s="1096"/>
      <c r="Q51" s="1104"/>
      <c r="R51" s="1106"/>
      <c r="S51" s="1108"/>
      <c r="T51" s="1096"/>
      <c r="U51" s="1066"/>
      <c r="V51" s="1098"/>
      <c r="W51" s="438"/>
    </row>
    <row r="52" spans="2:23" ht="14.1" customHeight="1">
      <c r="B52" s="437"/>
      <c r="C52" s="439"/>
      <c r="D52" s="31"/>
      <c r="E52" s="44"/>
      <c r="F52" s="408"/>
      <c r="G52" s="408"/>
      <c r="H52" s="408"/>
      <c r="I52" s="408"/>
      <c r="J52" s="408"/>
      <c r="K52" s="408"/>
      <c r="L52" s="408"/>
      <c r="M52" s="408"/>
      <c r="N52" s="408"/>
      <c r="O52" s="408"/>
      <c r="P52" s="408"/>
      <c r="Q52" s="408"/>
      <c r="R52" s="158"/>
      <c r="S52" s="486"/>
      <c r="T52" s="408"/>
      <c r="U52" s="408"/>
      <c r="V52" s="407"/>
      <c r="W52" s="438"/>
    </row>
    <row r="53" spans="2:23" ht="14.1" customHeight="1">
      <c r="B53" s="431"/>
      <c r="C53" s="132" t="s">
        <v>247</v>
      </c>
      <c r="D53" s="441" t="s">
        <v>176</v>
      </c>
      <c r="E53" s="442"/>
      <c r="F53" s="442"/>
      <c r="G53" s="118"/>
      <c r="H53" s="119"/>
      <c r="I53" s="120"/>
      <c r="J53" s="443"/>
      <c r="K53" s="444"/>
      <c r="L53" s="444"/>
      <c r="M53" s="444"/>
      <c r="N53" s="445"/>
      <c r="O53" s="445"/>
      <c r="P53" s="444"/>
      <c r="Q53" s="10"/>
      <c r="R53" s="200"/>
      <c r="S53" s="136"/>
      <c r="T53" s="444"/>
      <c r="U53" s="444"/>
      <c r="V53" s="445"/>
      <c r="W53" s="446"/>
    </row>
    <row r="54" spans="2:23" ht="14.1" customHeight="1">
      <c r="B54" s="432"/>
      <c r="C54" s="447"/>
      <c r="D54" s="31" t="s">
        <v>382</v>
      </c>
      <c r="E54" s="44" t="s">
        <v>37</v>
      </c>
      <c r="F54" s="443"/>
      <c r="G54" s="443"/>
      <c r="H54" s="443"/>
      <c r="I54" s="443"/>
      <c r="J54" s="443"/>
      <c r="K54" s="443"/>
      <c r="L54" s="443"/>
      <c r="M54" s="443"/>
      <c r="N54" s="443"/>
      <c r="O54" s="443"/>
      <c r="P54" s="443"/>
      <c r="Q54" s="179"/>
      <c r="R54" s="157">
        <f>(K50*2+M50*2)*I50</f>
        <v>24</v>
      </c>
      <c r="S54" s="201" t="s">
        <v>0</v>
      </c>
      <c r="T54" s="443"/>
      <c r="U54" s="443"/>
      <c r="V54" s="445"/>
    </row>
    <row r="55" spans="2:23" ht="14.1" customHeight="1">
      <c r="B55" s="432"/>
      <c r="C55" s="447"/>
      <c r="D55" s="31" t="s">
        <v>383</v>
      </c>
      <c r="E55" s="44" t="s">
        <v>36</v>
      </c>
      <c r="F55" s="443"/>
      <c r="G55" s="443"/>
      <c r="H55" s="443"/>
      <c r="I55" s="443"/>
      <c r="J55" s="443"/>
      <c r="K55" s="443"/>
      <c r="L55" s="443"/>
      <c r="M55" s="443"/>
      <c r="N55" s="443"/>
      <c r="O55" s="443"/>
      <c r="P55" s="443"/>
      <c r="Q55" s="179"/>
      <c r="R55" s="157">
        <f>((K50*2)+(M50*2))*I50</f>
        <v>24</v>
      </c>
      <c r="S55" s="201" t="s">
        <v>0</v>
      </c>
      <c r="T55" s="443"/>
      <c r="U55" s="443"/>
      <c r="V55" s="445"/>
    </row>
    <row r="56" spans="2:23" ht="14.1" customHeight="1">
      <c r="B56" s="432"/>
      <c r="C56" s="447"/>
      <c r="D56" s="448"/>
      <c r="E56" s="443"/>
      <c r="F56" s="443"/>
      <c r="G56" s="443"/>
      <c r="H56" s="443"/>
      <c r="I56" s="443"/>
      <c r="J56" s="443"/>
      <c r="K56" s="443"/>
      <c r="L56" s="443"/>
      <c r="M56" s="443"/>
      <c r="N56" s="443"/>
      <c r="O56" s="443"/>
      <c r="P56" s="443"/>
      <c r="Q56" s="179"/>
      <c r="R56" s="201"/>
      <c r="S56" s="201"/>
      <c r="T56" s="443"/>
      <c r="U56" s="443"/>
      <c r="V56" s="445"/>
    </row>
    <row r="57" spans="2:23" ht="14.1" customHeight="1">
      <c r="B57" s="432"/>
      <c r="C57" s="447"/>
      <c r="D57" s="448"/>
      <c r="E57" s="443"/>
      <c r="F57" s="443"/>
      <c r="G57" s="443"/>
      <c r="H57" s="443"/>
      <c r="I57" s="443"/>
      <c r="J57" s="443"/>
      <c r="K57" s="443"/>
      <c r="L57" s="443"/>
      <c r="M57" s="443"/>
      <c r="N57" s="443"/>
      <c r="O57" s="443"/>
      <c r="P57" s="443"/>
      <c r="Q57" s="179"/>
      <c r="R57" s="201"/>
      <c r="S57" s="201"/>
      <c r="T57" s="443"/>
      <c r="U57" s="443"/>
      <c r="V57" s="445"/>
    </row>
    <row r="58" spans="2:23" ht="14.1" customHeight="1">
      <c r="B58" s="432"/>
      <c r="C58" s="117" t="s">
        <v>248</v>
      </c>
      <c r="D58" s="476" t="s">
        <v>427</v>
      </c>
      <c r="E58" s="477"/>
      <c r="F58" s="477"/>
      <c r="G58" s="477"/>
      <c r="H58" s="477"/>
      <c r="I58" s="477"/>
      <c r="J58" s="477"/>
      <c r="K58" s="477"/>
      <c r="L58" s="477"/>
      <c r="M58" s="477"/>
      <c r="N58" s="477"/>
      <c r="O58" s="477"/>
      <c r="P58" s="477"/>
      <c r="Q58" s="477"/>
      <c r="R58" s="477"/>
      <c r="S58" s="477"/>
      <c r="T58" s="477"/>
      <c r="U58" s="477"/>
      <c r="V58" s="504"/>
    </row>
    <row r="59" spans="2:23" ht="14.1" customHeight="1">
      <c r="B59" s="446"/>
      <c r="C59" s="449"/>
      <c r="D59" s="7"/>
      <c r="E59" s="7"/>
      <c r="F59" s="10"/>
      <c r="G59" s="450"/>
      <c r="H59" s="10"/>
      <c r="I59" s="8"/>
      <c r="J59" s="10"/>
      <c r="K59" s="450"/>
      <c r="L59" s="10"/>
      <c r="M59" s="450"/>
      <c r="N59" s="10"/>
      <c r="O59" s="10"/>
      <c r="P59" s="9"/>
      <c r="Q59" s="10"/>
      <c r="R59" s="11"/>
      <c r="S59" s="11"/>
      <c r="T59" s="9"/>
      <c r="U59" s="9"/>
      <c r="V59" s="9"/>
      <c r="W59" s="446"/>
    </row>
    <row r="60" spans="2:23" ht="14.1" customHeight="1">
      <c r="B60" s="451"/>
      <c r="C60" s="10"/>
      <c r="D60" s="11" t="s">
        <v>384</v>
      </c>
      <c r="E60" s="8" t="s">
        <v>21</v>
      </c>
      <c r="F60" s="179"/>
      <c r="G60" s="179"/>
      <c r="H60" s="179"/>
      <c r="I60" s="179"/>
      <c r="J60" s="179"/>
      <c r="K60" s="179"/>
      <c r="L60" s="179"/>
      <c r="M60" s="179"/>
      <c r="N60" s="179"/>
      <c r="O60" s="179"/>
      <c r="P60" s="179"/>
      <c r="Q60" s="9"/>
      <c r="R60" s="11"/>
      <c r="S60" s="11"/>
      <c r="T60" s="452"/>
      <c r="U60" s="452"/>
      <c r="V60" s="452"/>
      <c r="W60" s="446"/>
    </row>
    <row r="61" spans="2:23" ht="6.95" customHeight="1">
      <c r="C61" s="10"/>
      <c r="D61" s="11"/>
      <c r="E61" s="10"/>
      <c r="F61" s="10"/>
      <c r="G61" s="10"/>
      <c r="H61" s="10"/>
      <c r="I61" s="10"/>
      <c r="J61" s="10"/>
      <c r="K61" s="10"/>
      <c r="L61" s="10"/>
      <c r="M61" s="10"/>
      <c r="N61" s="10"/>
      <c r="O61" s="10"/>
      <c r="P61" s="10"/>
      <c r="Q61" s="10"/>
      <c r="R61" s="11"/>
      <c r="S61" s="11"/>
      <c r="T61" s="10"/>
      <c r="U61" s="10"/>
      <c r="V61" s="10"/>
      <c r="W61" s="453"/>
    </row>
    <row r="62" spans="2:23" ht="14.1" customHeight="1">
      <c r="B62" s="431"/>
      <c r="C62" s="10"/>
      <c r="D62" s="11"/>
      <c r="E62" s="974" t="s">
        <v>31</v>
      </c>
      <c r="F62" s="975"/>
      <c r="G62" s="975"/>
      <c r="H62" s="975"/>
      <c r="I62" s="975"/>
      <c r="J62" s="975"/>
      <c r="K62" s="975"/>
      <c r="L62" s="975"/>
      <c r="M62" s="975"/>
      <c r="N62" s="975"/>
      <c r="O62" s="975"/>
      <c r="P62" s="975"/>
      <c r="Q62" s="976"/>
      <c r="R62" s="160"/>
      <c r="S62" s="197"/>
      <c r="T62" s="10"/>
      <c r="U62" s="10"/>
      <c r="V62" s="10"/>
      <c r="W62" s="454"/>
    </row>
    <row r="63" spans="2:23" ht="14.1" customHeight="1">
      <c r="B63" s="451"/>
      <c r="C63" s="10"/>
      <c r="D63" s="11"/>
      <c r="E63" s="974" t="s">
        <v>138</v>
      </c>
      <c r="F63" s="975"/>
      <c r="G63" s="975"/>
      <c r="H63" s="975"/>
      <c r="I63" s="975"/>
      <c r="J63" s="975"/>
      <c r="K63" s="975"/>
      <c r="L63" s="975"/>
      <c r="M63" s="975"/>
      <c r="N63" s="975"/>
      <c r="O63" s="975"/>
      <c r="P63" s="975"/>
      <c r="Q63" s="978"/>
      <c r="R63" s="157">
        <f>ROUND(I50*(2*K50+2*M50),2)</f>
        <v>24</v>
      </c>
      <c r="S63" s="156" t="s">
        <v>0</v>
      </c>
      <c r="T63" s="10"/>
      <c r="U63" s="9"/>
      <c r="V63" s="10"/>
      <c r="W63" s="438"/>
    </row>
    <row r="64" spans="2:23" ht="14.1" customHeight="1">
      <c r="B64" s="451"/>
      <c r="C64" s="10"/>
      <c r="D64" s="11"/>
      <c r="E64" s="10"/>
      <c r="F64" s="10"/>
      <c r="G64" s="10"/>
      <c r="H64" s="10"/>
      <c r="I64" s="10"/>
      <c r="J64" s="10"/>
      <c r="K64" s="10"/>
      <c r="L64" s="10"/>
      <c r="M64" s="10"/>
      <c r="N64" s="10"/>
      <c r="O64" s="10"/>
      <c r="P64" s="10"/>
      <c r="Q64" s="10"/>
      <c r="R64" s="202"/>
      <c r="S64" s="11"/>
      <c r="T64" s="10"/>
      <c r="U64" s="10"/>
      <c r="V64" s="10"/>
      <c r="W64" s="438"/>
    </row>
    <row r="65" spans="2:23" ht="14.1" customHeight="1">
      <c r="B65" s="451"/>
      <c r="C65" s="10"/>
      <c r="D65" s="11"/>
      <c r="E65" s="10"/>
      <c r="F65" s="10"/>
      <c r="G65" s="10"/>
      <c r="H65" s="10"/>
      <c r="I65" s="10"/>
      <c r="J65" s="10"/>
      <c r="K65" s="10"/>
      <c r="L65" s="10"/>
      <c r="M65" s="10"/>
      <c r="N65" s="10"/>
      <c r="O65" s="10"/>
      <c r="P65" s="10"/>
      <c r="Q65" s="10"/>
      <c r="R65" s="11"/>
      <c r="S65" s="11"/>
      <c r="T65" s="10"/>
      <c r="U65" s="10"/>
      <c r="V65" s="10"/>
      <c r="W65" s="454"/>
    </row>
    <row r="66" spans="2:23" ht="24.95" customHeight="1">
      <c r="C66" s="444"/>
      <c r="D66" s="11" t="s">
        <v>385</v>
      </c>
      <c r="E66" s="8" t="s">
        <v>22</v>
      </c>
      <c r="F66" s="179"/>
      <c r="G66" s="179"/>
      <c r="H66" s="179"/>
      <c r="I66" s="179"/>
      <c r="J66" s="179"/>
      <c r="K66" s="179"/>
      <c r="L66" s="179"/>
      <c r="M66" s="179"/>
      <c r="N66" s="179"/>
      <c r="O66" s="179"/>
      <c r="P66" s="179"/>
      <c r="Q66" s="9"/>
      <c r="R66" s="11"/>
      <c r="S66" s="11"/>
      <c r="T66" s="452"/>
      <c r="U66" s="452"/>
      <c r="V66" s="452"/>
      <c r="W66" s="438"/>
    </row>
    <row r="67" spans="2:23" ht="6.95" customHeight="1">
      <c r="B67" s="451"/>
      <c r="C67" s="10"/>
      <c r="D67" s="11"/>
      <c r="E67" s="10"/>
      <c r="F67" s="10"/>
      <c r="G67" s="10"/>
      <c r="H67" s="10"/>
      <c r="I67" s="10"/>
      <c r="J67" s="10"/>
      <c r="K67" s="10"/>
      <c r="L67" s="10"/>
      <c r="M67" s="10"/>
      <c r="N67" s="10"/>
      <c r="O67" s="10"/>
      <c r="P67" s="10"/>
      <c r="Q67" s="10"/>
      <c r="R67" s="11"/>
      <c r="S67" s="11"/>
      <c r="T67" s="10"/>
      <c r="U67" s="10"/>
      <c r="V67" s="10"/>
      <c r="W67" s="454"/>
    </row>
    <row r="68" spans="2:23" ht="13.5" customHeight="1">
      <c r="B68" s="451"/>
      <c r="C68" s="10"/>
      <c r="D68" s="11"/>
      <c r="E68" s="974" t="s">
        <v>32</v>
      </c>
      <c r="F68" s="975"/>
      <c r="G68" s="975"/>
      <c r="H68" s="975"/>
      <c r="I68" s="975"/>
      <c r="J68" s="975"/>
      <c r="K68" s="975"/>
      <c r="L68" s="975"/>
      <c r="M68" s="975"/>
      <c r="N68" s="975"/>
      <c r="O68" s="975"/>
      <c r="P68" s="975"/>
      <c r="Q68" s="976"/>
      <c r="R68" s="161"/>
      <c r="S68" s="11"/>
      <c r="T68" s="10"/>
      <c r="U68" s="10"/>
      <c r="V68" s="10"/>
      <c r="W68" s="438"/>
    </row>
    <row r="69" spans="2:23" ht="14.1" customHeight="1">
      <c r="B69" s="431"/>
      <c r="C69" s="10"/>
      <c r="D69" s="11"/>
      <c r="E69" s="974" t="s">
        <v>139</v>
      </c>
      <c r="F69" s="975"/>
      <c r="G69" s="975"/>
      <c r="H69" s="975"/>
      <c r="I69" s="975"/>
      <c r="J69" s="975"/>
      <c r="K69" s="975"/>
      <c r="L69" s="975"/>
      <c r="M69" s="975"/>
      <c r="N69" s="975"/>
      <c r="O69" s="975"/>
      <c r="P69" s="975"/>
      <c r="Q69" s="978"/>
      <c r="R69" s="157">
        <f>Q50</f>
        <v>12</v>
      </c>
      <c r="S69" s="156" t="s">
        <v>17</v>
      </c>
      <c r="T69" s="9"/>
      <c r="U69" s="10"/>
      <c r="V69" s="10"/>
      <c r="W69" s="454"/>
    </row>
    <row r="70" spans="2:23" ht="13.5" customHeight="1">
      <c r="B70" s="451"/>
      <c r="C70" s="10"/>
      <c r="D70" s="11"/>
      <c r="E70" s="10"/>
      <c r="F70" s="10"/>
      <c r="G70" s="10"/>
      <c r="H70" s="10"/>
      <c r="I70" s="10"/>
      <c r="J70" s="10"/>
      <c r="K70" s="10"/>
      <c r="L70" s="10"/>
      <c r="M70" s="10"/>
      <c r="N70" s="10"/>
      <c r="O70" s="10"/>
      <c r="P70" s="10"/>
      <c r="Q70" s="10"/>
      <c r="R70" s="11"/>
      <c r="S70" s="11"/>
      <c r="T70" s="10"/>
      <c r="U70" s="10"/>
      <c r="V70" s="10"/>
      <c r="W70" s="438"/>
    </row>
    <row r="71" spans="2:23" ht="14.1" customHeight="1">
      <c r="B71" s="451"/>
      <c r="C71" s="10"/>
      <c r="D71" s="11"/>
      <c r="E71" s="10"/>
      <c r="F71" s="10"/>
      <c r="G71" s="10"/>
      <c r="H71" s="10"/>
      <c r="I71" s="10"/>
      <c r="J71" s="10"/>
      <c r="K71" s="10"/>
      <c r="L71" s="10"/>
      <c r="M71" s="10"/>
      <c r="N71" s="10"/>
      <c r="O71" s="10"/>
      <c r="P71" s="10"/>
      <c r="Q71" s="10"/>
      <c r="R71" s="11"/>
      <c r="S71" s="11"/>
      <c r="T71" s="10"/>
      <c r="U71" s="10"/>
      <c r="V71" s="10"/>
      <c r="W71" s="438"/>
    </row>
    <row r="72" spans="2:23" ht="24.95" customHeight="1">
      <c r="C72" s="444"/>
      <c r="D72" s="11" t="s">
        <v>386</v>
      </c>
      <c r="E72" s="8" t="s">
        <v>23</v>
      </c>
      <c r="F72" s="179"/>
      <c r="G72" s="179"/>
      <c r="H72" s="179"/>
      <c r="I72" s="179"/>
      <c r="J72" s="179"/>
      <c r="K72" s="179"/>
      <c r="L72" s="179"/>
      <c r="M72" s="179"/>
      <c r="N72" s="179"/>
      <c r="O72" s="179"/>
      <c r="P72" s="179"/>
      <c r="Q72" s="9"/>
      <c r="R72" s="11"/>
      <c r="S72" s="11"/>
      <c r="T72" s="452"/>
      <c r="U72" s="452"/>
      <c r="V72" s="452"/>
      <c r="W72" s="438"/>
    </row>
    <row r="73" spans="2:23" ht="6.95" customHeight="1">
      <c r="B73" s="451"/>
      <c r="C73" s="10"/>
      <c r="D73" s="11"/>
      <c r="E73" s="10"/>
      <c r="F73" s="10"/>
      <c r="G73" s="10"/>
      <c r="H73" s="10"/>
      <c r="I73" s="10"/>
      <c r="J73" s="10"/>
      <c r="K73" s="10"/>
      <c r="L73" s="10"/>
      <c r="M73" s="10"/>
      <c r="N73" s="10"/>
      <c r="O73" s="10"/>
      <c r="P73" s="10"/>
      <c r="Q73" s="10"/>
      <c r="R73" s="11"/>
      <c r="S73" s="11"/>
      <c r="T73" s="10"/>
      <c r="U73" s="10"/>
      <c r="V73" s="10"/>
      <c r="W73" s="454"/>
    </row>
    <row r="74" spans="2:23" ht="14.1" customHeight="1">
      <c r="B74" s="431"/>
      <c r="C74" s="10"/>
      <c r="D74" s="11"/>
      <c r="E74" s="986" t="s">
        <v>1356</v>
      </c>
      <c r="F74" s="987"/>
      <c r="G74" s="987"/>
      <c r="H74" s="987"/>
      <c r="I74" s="987"/>
      <c r="J74" s="987"/>
      <c r="K74" s="987"/>
      <c r="L74" s="987"/>
      <c r="M74" s="987"/>
      <c r="N74" s="987"/>
      <c r="O74" s="987"/>
      <c r="P74" s="987"/>
      <c r="Q74" s="988"/>
      <c r="R74" s="157">
        <f>ROUND((Q50*0.05),2)</f>
        <v>0.6</v>
      </c>
      <c r="S74" s="156" t="s">
        <v>18</v>
      </c>
      <c r="T74" s="10"/>
      <c r="U74" s="10"/>
      <c r="V74" s="455"/>
      <c r="W74" s="454"/>
    </row>
    <row r="75" spans="2:23" ht="14.1" customHeight="1">
      <c r="B75" s="451"/>
      <c r="C75" s="10"/>
      <c r="D75" s="11"/>
      <c r="E75" s="10"/>
      <c r="F75" s="10"/>
      <c r="G75" s="10"/>
      <c r="H75" s="10"/>
      <c r="I75" s="10"/>
      <c r="J75" s="10"/>
      <c r="K75" s="10"/>
      <c r="L75" s="10"/>
      <c r="M75" s="10"/>
      <c r="N75" s="10"/>
      <c r="O75" s="10"/>
      <c r="P75" s="10"/>
      <c r="Q75" s="10"/>
      <c r="R75" s="11"/>
      <c r="S75" s="11"/>
      <c r="T75" s="10"/>
      <c r="U75" s="10"/>
      <c r="V75" s="10"/>
      <c r="W75" s="454"/>
    </row>
    <row r="76" spans="2:23" ht="14.1" customHeight="1">
      <c r="B76" s="451"/>
      <c r="C76" s="10"/>
      <c r="D76" s="11"/>
      <c r="E76" s="10"/>
      <c r="F76" s="10"/>
      <c r="G76" s="10"/>
      <c r="H76" s="10"/>
      <c r="I76" s="10"/>
      <c r="J76" s="10"/>
      <c r="K76" s="10"/>
      <c r="L76" s="10"/>
      <c r="M76" s="10"/>
      <c r="N76" s="10"/>
      <c r="O76" s="10"/>
      <c r="P76" s="10"/>
      <c r="Q76" s="10"/>
      <c r="R76" s="11"/>
      <c r="S76" s="11"/>
      <c r="T76" s="10"/>
      <c r="U76" s="10"/>
      <c r="V76" s="10"/>
      <c r="W76" s="454"/>
    </row>
    <row r="77" spans="2:23" ht="32.25" customHeight="1">
      <c r="C77" s="444"/>
      <c r="D77" s="29" t="s">
        <v>387</v>
      </c>
      <c r="E77" s="505" t="s">
        <v>178</v>
      </c>
      <c r="F77" s="506"/>
      <c r="G77" s="506"/>
      <c r="H77" s="506"/>
      <c r="I77" s="506"/>
      <c r="J77" s="506"/>
      <c r="K77" s="506"/>
      <c r="L77" s="506"/>
      <c r="M77" s="506"/>
      <c r="N77" s="506"/>
      <c r="O77" s="506"/>
      <c r="P77" s="506"/>
      <c r="Q77" s="507"/>
      <c r="R77" s="29"/>
      <c r="S77" s="29"/>
      <c r="T77" s="452"/>
      <c r="U77" s="452"/>
      <c r="V77" s="452"/>
      <c r="W77" s="438"/>
    </row>
    <row r="78" spans="2:23" ht="6.95" customHeight="1">
      <c r="B78" s="451"/>
      <c r="C78" s="10"/>
      <c r="D78" s="29"/>
      <c r="E78" s="41"/>
      <c r="F78" s="41"/>
      <c r="G78" s="41"/>
      <c r="H78" s="41"/>
      <c r="I78" s="41"/>
      <c r="J78" s="41"/>
      <c r="K78" s="41"/>
      <c r="L78" s="41"/>
      <c r="M78" s="41"/>
      <c r="N78" s="41"/>
      <c r="O78" s="41"/>
      <c r="P78" s="41"/>
      <c r="Q78" s="41"/>
      <c r="R78" s="29"/>
      <c r="S78" s="29"/>
      <c r="T78" s="10"/>
      <c r="U78" s="10"/>
      <c r="V78" s="10"/>
      <c r="W78" s="454"/>
    </row>
    <row r="79" spans="2:23" ht="14.1" customHeight="1">
      <c r="B79" s="451"/>
      <c r="C79" s="10"/>
      <c r="D79" s="29"/>
      <c r="E79" s="979" t="s">
        <v>177</v>
      </c>
      <c r="F79" s="980"/>
      <c r="G79" s="980"/>
      <c r="H79" s="980"/>
      <c r="I79" s="980"/>
      <c r="J79" s="980"/>
      <c r="K79" s="980"/>
      <c r="L79" s="980"/>
      <c r="M79" s="980"/>
      <c r="N79" s="980"/>
      <c r="O79" s="980"/>
      <c r="P79" s="980"/>
      <c r="Q79" s="981"/>
      <c r="R79" s="159">
        <f>(I50*10)*U79</f>
        <v>21</v>
      </c>
      <c r="S79" s="498" t="s">
        <v>179</v>
      </c>
      <c r="T79" s="10"/>
      <c r="U79" s="122">
        <v>0.7</v>
      </c>
      <c r="V79" s="10"/>
      <c r="W79" s="454"/>
    </row>
    <row r="80" spans="2:23" ht="14.1" customHeight="1">
      <c r="B80" s="451"/>
      <c r="C80" s="10"/>
      <c r="D80" s="29"/>
      <c r="E80" s="400"/>
      <c r="F80" s="401"/>
      <c r="G80" s="401"/>
      <c r="H80" s="401"/>
      <c r="I80" s="401"/>
      <c r="J80" s="401"/>
      <c r="K80" s="401"/>
      <c r="L80" s="401"/>
      <c r="M80" s="401"/>
      <c r="N80" s="401"/>
      <c r="O80" s="401"/>
      <c r="P80" s="401"/>
      <c r="Q80" s="401"/>
      <c r="R80" s="203"/>
      <c r="S80" s="498"/>
      <c r="T80" s="10"/>
      <c r="U80" s="10"/>
      <c r="V80" s="10"/>
      <c r="W80" s="454"/>
    </row>
    <row r="81" spans="2:23" ht="14.1" customHeight="1">
      <c r="B81" s="451"/>
      <c r="C81" s="10"/>
      <c r="D81" s="29"/>
      <c r="E81" s="400"/>
      <c r="F81" s="401"/>
      <c r="G81" s="401"/>
      <c r="H81" s="401"/>
      <c r="I81" s="401"/>
      <c r="J81" s="401"/>
      <c r="K81" s="401"/>
      <c r="L81" s="401"/>
      <c r="M81" s="401"/>
      <c r="N81" s="401"/>
      <c r="O81" s="401"/>
      <c r="P81" s="401"/>
      <c r="Q81" s="401"/>
      <c r="R81" s="203"/>
      <c r="S81" s="498"/>
      <c r="T81" s="10"/>
      <c r="U81" s="10"/>
      <c r="V81" s="10"/>
      <c r="W81" s="454"/>
    </row>
    <row r="82" spans="2:23" ht="21.75" customHeight="1">
      <c r="B82" s="451"/>
      <c r="C82" s="10"/>
      <c r="D82" s="29" t="s">
        <v>388</v>
      </c>
      <c r="E82" s="505" t="s">
        <v>178</v>
      </c>
      <c r="F82" s="506"/>
      <c r="G82" s="506"/>
      <c r="H82" s="506"/>
      <c r="I82" s="506"/>
      <c r="J82" s="506"/>
      <c r="K82" s="506"/>
      <c r="L82" s="506"/>
      <c r="M82" s="506"/>
      <c r="N82" s="506"/>
      <c r="O82" s="506"/>
      <c r="P82" s="506"/>
      <c r="Q82" s="507"/>
      <c r="R82" s="203"/>
      <c r="S82" s="498"/>
      <c r="T82" s="10"/>
      <c r="U82" s="10"/>
      <c r="V82" s="10"/>
      <c r="W82" s="454"/>
    </row>
    <row r="83" spans="2:23" ht="14.1" customHeight="1">
      <c r="B83" s="451"/>
      <c r="C83" s="10"/>
      <c r="D83" s="29"/>
      <c r="E83" s="400"/>
      <c r="F83" s="401"/>
      <c r="G83" s="401"/>
      <c r="H83" s="401"/>
      <c r="I83" s="401"/>
      <c r="J83" s="401"/>
      <c r="K83" s="401"/>
      <c r="L83" s="401"/>
      <c r="M83" s="401"/>
      <c r="N83" s="401"/>
      <c r="O83" s="401"/>
      <c r="P83" s="401"/>
      <c r="Q83" s="401"/>
      <c r="R83" s="203"/>
      <c r="S83" s="498"/>
      <c r="T83" s="10"/>
      <c r="U83" s="10"/>
      <c r="V83" s="10"/>
      <c r="W83" s="454"/>
    </row>
    <row r="84" spans="2:23" ht="14.1" customHeight="1">
      <c r="B84" s="451"/>
      <c r="C84" s="10"/>
      <c r="D84" s="11"/>
      <c r="E84" s="10" t="s">
        <v>177</v>
      </c>
      <c r="F84" s="10"/>
      <c r="G84" s="10"/>
      <c r="H84" s="10"/>
      <c r="I84" s="10"/>
      <c r="J84" s="10"/>
      <c r="K84" s="10"/>
      <c r="L84" s="10"/>
      <c r="M84" s="10"/>
      <c r="N84" s="10"/>
      <c r="O84" s="10"/>
      <c r="P84" s="10"/>
      <c r="Q84" s="10"/>
      <c r="R84" s="159">
        <f>(I50*10)*U84</f>
        <v>9</v>
      </c>
      <c r="S84" s="498" t="s">
        <v>180</v>
      </c>
      <c r="T84" s="10"/>
      <c r="U84" s="122">
        <v>0.3</v>
      </c>
      <c r="V84" s="10"/>
      <c r="W84" s="454"/>
    </row>
    <row r="85" spans="2:23" ht="14.1" customHeight="1">
      <c r="B85" s="451"/>
      <c r="C85" s="10"/>
      <c r="D85" s="11"/>
      <c r="E85" s="10"/>
      <c r="F85" s="10"/>
      <c r="G85" s="10"/>
      <c r="H85" s="10"/>
      <c r="I85" s="10"/>
      <c r="J85" s="10"/>
      <c r="K85" s="10"/>
      <c r="L85" s="10"/>
      <c r="M85" s="10"/>
      <c r="N85" s="10"/>
      <c r="O85" s="10"/>
      <c r="P85" s="10"/>
      <c r="Q85" s="10"/>
      <c r="R85" s="203"/>
      <c r="S85" s="498"/>
      <c r="T85" s="10"/>
      <c r="U85" s="122"/>
      <c r="V85" s="10"/>
      <c r="W85" s="454"/>
    </row>
    <row r="86" spans="2:23" ht="14.1" customHeight="1">
      <c r="B86" s="451"/>
      <c r="C86" s="10"/>
      <c r="D86" s="11"/>
      <c r="E86" s="10"/>
      <c r="F86" s="10"/>
      <c r="G86" s="10"/>
      <c r="H86" s="10"/>
      <c r="I86" s="10"/>
      <c r="J86" s="10"/>
      <c r="K86" s="10"/>
      <c r="L86" s="10"/>
      <c r="M86" s="10"/>
      <c r="N86" s="10"/>
      <c r="O86" s="10"/>
      <c r="P86" s="10"/>
      <c r="Q86" s="10"/>
      <c r="R86" s="203"/>
      <c r="S86" s="498"/>
      <c r="T86" s="10"/>
      <c r="U86" s="122"/>
      <c r="V86" s="10"/>
      <c r="W86" s="454"/>
    </row>
    <row r="87" spans="2:23" ht="14.1" customHeight="1">
      <c r="B87" s="451"/>
      <c r="C87" s="10"/>
      <c r="D87" s="31" t="s">
        <v>389</v>
      </c>
      <c r="E87" s="86" t="s">
        <v>1334</v>
      </c>
      <c r="F87" s="86"/>
      <c r="G87" s="86"/>
      <c r="H87" s="86"/>
      <c r="I87" s="86"/>
      <c r="J87" s="86"/>
      <c r="K87" s="86"/>
      <c r="L87" s="86"/>
      <c r="M87" s="86"/>
      <c r="N87" s="86"/>
      <c r="O87" s="86"/>
      <c r="P87" s="86"/>
      <c r="Q87" s="86"/>
      <c r="R87" s="403"/>
      <c r="T87" s="10"/>
      <c r="U87" s="122"/>
      <c r="V87" s="10"/>
      <c r="W87" s="454"/>
    </row>
    <row r="88" spans="2:23" ht="14.1" customHeight="1">
      <c r="B88" s="451"/>
      <c r="C88" s="10"/>
      <c r="D88" s="31"/>
      <c r="E88" s="86"/>
      <c r="F88" s="86" t="s">
        <v>198</v>
      </c>
      <c r="G88" s="86"/>
      <c r="H88" s="86"/>
      <c r="I88" s="86"/>
      <c r="J88" s="86"/>
      <c r="K88" s="86"/>
      <c r="L88" s="86" t="s">
        <v>192</v>
      </c>
      <c r="M88" s="171">
        <v>0</v>
      </c>
      <c r="N88" s="172" t="s">
        <v>193</v>
      </c>
      <c r="O88" s="86"/>
      <c r="P88" s="86"/>
      <c r="Q88" s="86"/>
      <c r="R88" s="403"/>
      <c r="T88" s="10"/>
      <c r="U88" s="122"/>
      <c r="V88" s="10"/>
      <c r="W88" s="454"/>
    </row>
    <row r="89" spans="2:23" ht="14.1" customHeight="1">
      <c r="B89" s="451"/>
      <c r="C89" s="10"/>
      <c r="D89" s="31"/>
      <c r="E89" s="86"/>
      <c r="F89" s="86"/>
      <c r="G89" s="86"/>
      <c r="H89" s="86"/>
      <c r="I89" s="86"/>
      <c r="J89" s="86"/>
      <c r="K89" s="86"/>
      <c r="L89" s="86"/>
      <c r="M89" s="86"/>
      <c r="N89" s="86"/>
      <c r="O89" s="86"/>
      <c r="P89" s="86"/>
      <c r="Q89" s="86"/>
      <c r="R89" s="403"/>
      <c r="T89" s="10"/>
      <c r="U89" s="122"/>
      <c r="V89" s="10"/>
      <c r="W89" s="454"/>
    </row>
    <row r="90" spans="2:23" ht="14.1" customHeight="1">
      <c r="B90" s="451"/>
      <c r="C90" s="10"/>
      <c r="D90" s="31"/>
      <c r="E90" s="86"/>
      <c r="F90" s="86" t="s">
        <v>199</v>
      </c>
      <c r="G90" s="86"/>
      <c r="H90" s="86"/>
      <c r="I90" s="86"/>
      <c r="J90" s="86"/>
      <c r="K90" s="86"/>
      <c r="L90" s="86" t="s">
        <v>192</v>
      </c>
      <c r="M90" s="536">
        <f>O50</f>
        <v>1.5</v>
      </c>
      <c r="N90" s="172" t="s">
        <v>0</v>
      </c>
      <c r="O90" s="86"/>
      <c r="P90" s="86"/>
      <c r="Q90" s="86"/>
      <c r="R90" s="403"/>
      <c r="T90" s="10"/>
      <c r="U90" s="122"/>
      <c r="V90" s="10"/>
      <c r="W90" s="454"/>
    </row>
    <row r="91" spans="2:23" ht="14.1" customHeight="1">
      <c r="B91" s="451"/>
      <c r="C91" s="10"/>
      <c r="D91" s="31"/>
      <c r="E91" s="86"/>
      <c r="F91" s="86"/>
      <c r="G91" s="86"/>
      <c r="H91" s="86"/>
      <c r="I91" s="86"/>
      <c r="J91" s="86"/>
      <c r="K91" s="86"/>
      <c r="L91" s="86"/>
      <c r="M91" s="86"/>
      <c r="N91" s="86"/>
      <c r="O91" s="86"/>
      <c r="P91" s="86"/>
      <c r="Q91" s="86"/>
      <c r="R91" s="403"/>
      <c r="T91" s="10"/>
      <c r="U91" s="122"/>
      <c r="V91" s="10"/>
      <c r="W91" s="454"/>
    </row>
    <row r="92" spans="2:23" ht="14.1" customHeight="1">
      <c r="B92" s="451"/>
      <c r="C92" s="10"/>
      <c r="D92" s="31"/>
      <c r="E92" s="86" t="s">
        <v>1336</v>
      </c>
      <c r="F92" s="86"/>
      <c r="G92" s="86"/>
      <c r="H92" s="86"/>
      <c r="I92" s="86"/>
      <c r="J92" s="86"/>
      <c r="K92" s="86"/>
      <c r="L92" s="86"/>
      <c r="M92" s="86"/>
      <c r="N92" s="86"/>
      <c r="O92" s="86"/>
      <c r="P92" s="86"/>
      <c r="Q92" s="86"/>
      <c r="R92" s="159">
        <f>(((K50*2+M50*2)*M90)*I50)</f>
        <v>36</v>
      </c>
      <c r="S92" s="156" t="s">
        <v>17</v>
      </c>
      <c r="T92" s="10"/>
      <c r="U92" s="122"/>
      <c r="V92" s="10"/>
      <c r="W92" s="454"/>
    </row>
    <row r="93" spans="2:23" ht="14.1" customHeight="1">
      <c r="B93" s="451"/>
      <c r="C93" s="10"/>
      <c r="D93" s="11"/>
      <c r="E93" s="10"/>
      <c r="F93" s="10"/>
      <c r="G93" s="10"/>
      <c r="H93" s="10"/>
      <c r="I93" s="10"/>
      <c r="J93" s="10"/>
      <c r="K93" s="10"/>
      <c r="L93" s="10"/>
      <c r="M93" s="10"/>
      <c r="N93" s="10"/>
      <c r="O93" s="10"/>
      <c r="P93" s="10"/>
      <c r="Q93" s="10"/>
      <c r="R93" s="203"/>
      <c r="S93" s="498"/>
      <c r="T93" s="10"/>
      <c r="U93" s="122"/>
      <c r="V93" s="10"/>
      <c r="W93" s="454"/>
    </row>
    <row r="94" spans="2:23" ht="14.1" customHeight="1">
      <c r="B94" s="451"/>
      <c r="C94" s="10"/>
      <c r="D94" s="11"/>
      <c r="E94" s="10"/>
      <c r="F94" s="10"/>
      <c r="G94" s="10"/>
      <c r="H94" s="10"/>
      <c r="I94" s="10"/>
      <c r="J94" s="10"/>
      <c r="K94" s="10"/>
      <c r="L94" s="10"/>
      <c r="M94" s="10"/>
      <c r="N94" s="10"/>
      <c r="O94" s="10"/>
      <c r="P94" s="10"/>
      <c r="Q94" s="10"/>
      <c r="R94" s="203"/>
      <c r="S94" s="498"/>
      <c r="T94" s="10"/>
      <c r="U94" s="122"/>
      <c r="V94" s="10"/>
      <c r="W94" s="454"/>
    </row>
    <row r="95" spans="2:23" ht="14.1" customHeight="1">
      <c r="C95" s="444"/>
      <c r="D95" s="11" t="s">
        <v>390</v>
      </c>
      <c r="E95" s="86" t="s">
        <v>1399</v>
      </c>
      <c r="F95" s="179"/>
      <c r="G95" s="179"/>
      <c r="H95" s="179"/>
      <c r="I95" s="179"/>
      <c r="J95" s="179"/>
      <c r="K95" s="179"/>
      <c r="L95" s="179"/>
      <c r="M95" s="179"/>
      <c r="N95" s="179"/>
      <c r="O95" s="179"/>
      <c r="P95" s="179"/>
      <c r="Q95" s="9"/>
      <c r="R95" s="11"/>
      <c r="S95" s="11"/>
      <c r="T95" s="452"/>
      <c r="U95" s="452"/>
      <c r="V95" s="452"/>
      <c r="W95" s="438"/>
    </row>
    <row r="96" spans="2:23">
      <c r="B96" s="451"/>
      <c r="C96" s="10"/>
      <c r="D96" s="11"/>
      <c r="E96" s="10"/>
      <c r="F96" s="10"/>
      <c r="G96" s="10"/>
      <c r="H96" s="10"/>
      <c r="I96" s="10"/>
      <c r="J96" s="10"/>
      <c r="K96" s="10"/>
      <c r="L96" s="10"/>
      <c r="M96" s="10"/>
      <c r="N96" s="10"/>
      <c r="O96" s="10"/>
      <c r="P96" s="10"/>
      <c r="Q96" s="10"/>
      <c r="R96" s="11"/>
      <c r="S96" s="11"/>
      <c r="T96" s="10"/>
      <c r="U96" s="10"/>
      <c r="V96" s="10"/>
      <c r="W96" s="454"/>
    </row>
    <row r="97" spans="2:27" ht="14.1" customHeight="1">
      <c r="B97" s="451"/>
      <c r="C97" s="10"/>
      <c r="D97" s="11"/>
      <c r="E97" s="974" t="s">
        <v>1400</v>
      </c>
      <c r="F97" s="975"/>
      <c r="G97" s="975"/>
      <c r="H97" s="975"/>
      <c r="I97" s="975"/>
      <c r="J97" s="975"/>
      <c r="K97" s="975"/>
      <c r="L97" s="975"/>
      <c r="M97" s="975"/>
      <c r="N97" s="975"/>
      <c r="O97" s="975"/>
      <c r="P97" s="975"/>
      <c r="Q97" s="976"/>
      <c r="R97" s="157">
        <f>ROUND(Q50*O50,2)</f>
        <v>18</v>
      </c>
      <c r="S97" s="156" t="s">
        <v>18</v>
      </c>
      <c r="T97" s="10"/>
      <c r="U97" s="10"/>
      <c r="V97" s="444"/>
      <c r="W97" s="454"/>
    </row>
    <row r="98" spans="2:27" ht="14.1" customHeight="1">
      <c r="B98" s="431"/>
      <c r="C98" s="10"/>
      <c r="D98" s="11"/>
      <c r="E98" s="8"/>
      <c r="F98" s="179"/>
      <c r="G98" s="179"/>
      <c r="H98" s="179"/>
      <c r="I98" s="179"/>
      <c r="J98" s="179"/>
      <c r="K98" s="179"/>
      <c r="L98" s="179"/>
      <c r="M98" s="179"/>
      <c r="N98" s="179"/>
      <c r="O98" s="179"/>
      <c r="P98" s="179"/>
      <c r="Q98" s="179"/>
      <c r="R98" s="317"/>
      <c r="S98" s="317"/>
      <c r="T98" s="9"/>
      <c r="U98" s="8"/>
      <c r="V98" s="644"/>
      <c r="W98" s="285"/>
      <c r="X98" s="560"/>
      <c r="Y98" s="645"/>
      <c r="Z98" s="645"/>
      <c r="AA98" s="646"/>
    </row>
    <row r="99" spans="2:27" ht="14.1" customHeight="1">
      <c r="B99" s="451"/>
      <c r="C99" s="10"/>
      <c r="D99" s="11"/>
      <c r="E99" s="10"/>
      <c r="F99" s="10"/>
      <c r="G99" s="10"/>
      <c r="H99" s="10"/>
      <c r="I99" s="10"/>
      <c r="J99" s="10"/>
      <c r="K99" s="10"/>
      <c r="L99" s="10"/>
      <c r="M99" s="10"/>
      <c r="N99" s="10"/>
      <c r="O99" s="10"/>
      <c r="P99" s="10"/>
      <c r="Q99" s="10"/>
      <c r="R99" s="202"/>
      <c r="S99" s="11"/>
      <c r="T99" s="10"/>
      <c r="U99" s="10"/>
      <c r="V99" s="7"/>
      <c r="W99" s="459"/>
    </row>
    <row r="100" spans="2:27" ht="14.1" customHeight="1">
      <c r="B100" s="451"/>
      <c r="C100" s="10"/>
      <c r="D100" s="11"/>
      <c r="E100" s="10"/>
      <c r="F100" s="10"/>
      <c r="G100" s="10"/>
      <c r="H100" s="10"/>
      <c r="I100" s="10"/>
      <c r="J100" s="10"/>
      <c r="K100" s="10"/>
      <c r="L100" s="10"/>
      <c r="M100" s="10"/>
      <c r="N100" s="10"/>
      <c r="O100" s="10"/>
      <c r="P100" s="10"/>
      <c r="Q100" s="10"/>
      <c r="R100" s="11"/>
      <c r="S100" s="11"/>
      <c r="T100" s="10"/>
      <c r="U100" s="10"/>
      <c r="V100" s="10"/>
      <c r="W100" s="454"/>
    </row>
    <row r="101" spans="2:27" ht="14.1" customHeight="1">
      <c r="C101" s="444"/>
      <c r="D101" s="11" t="s">
        <v>391</v>
      </c>
      <c r="E101" s="8" t="s">
        <v>96</v>
      </c>
      <c r="F101" s="179"/>
      <c r="G101" s="179"/>
      <c r="H101" s="179"/>
      <c r="I101" s="179"/>
      <c r="J101" s="179"/>
      <c r="K101" s="179"/>
      <c r="L101" s="179"/>
      <c r="M101" s="179"/>
      <c r="N101" s="179"/>
      <c r="O101" s="179"/>
      <c r="P101" s="179"/>
      <c r="Q101" s="9"/>
      <c r="R101" s="11"/>
      <c r="S101" s="11"/>
      <c r="T101" s="452"/>
      <c r="U101" s="452"/>
      <c r="V101" s="452"/>
      <c r="W101" s="438"/>
    </row>
    <row r="102" spans="2:27" ht="6.95" customHeight="1">
      <c r="B102" s="451"/>
      <c r="C102" s="10"/>
      <c r="D102" s="11"/>
      <c r="E102" s="10"/>
      <c r="F102" s="10"/>
      <c r="G102" s="10"/>
      <c r="H102" s="10"/>
      <c r="I102" s="10"/>
      <c r="J102" s="10"/>
      <c r="K102" s="10"/>
      <c r="L102" s="10"/>
      <c r="M102" s="10"/>
      <c r="N102" s="10"/>
      <c r="O102" s="10"/>
      <c r="P102" s="10"/>
      <c r="Q102" s="10"/>
      <c r="R102" s="11"/>
      <c r="S102" s="11"/>
      <c r="T102" s="10"/>
      <c r="U102" s="10"/>
      <c r="V102" s="10"/>
      <c r="W102" s="454"/>
    </row>
    <row r="103" spans="2:27" ht="14.1" customHeight="1">
      <c r="B103" s="431"/>
      <c r="C103" s="10"/>
      <c r="D103" s="11"/>
      <c r="E103" s="974" t="s">
        <v>34</v>
      </c>
      <c r="F103" s="975"/>
      <c r="G103" s="975"/>
      <c r="H103" s="975"/>
      <c r="I103" s="975"/>
      <c r="J103" s="975"/>
      <c r="K103" s="975"/>
      <c r="L103" s="975"/>
      <c r="M103" s="975"/>
      <c r="N103" s="975"/>
      <c r="O103" s="975"/>
      <c r="P103" s="975"/>
      <c r="Q103" s="976"/>
      <c r="R103" s="156"/>
      <c r="S103" s="11"/>
      <c r="T103" s="10"/>
      <c r="U103" s="10"/>
      <c r="V103" s="10"/>
      <c r="W103" s="454"/>
    </row>
    <row r="104" spans="2:27" ht="14.1" customHeight="1">
      <c r="B104" s="451"/>
      <c r="C104" s="10"/>
      <c r="D104" s="11"/>
      <c r="E104" s="974" t="s">
        <v>140</v>
      </c>
      <c r="F104" s="975"/>
      <c r="G104" s="975"/>
      <c r="H104" s="975"/>
      <c r="I104" s="975"/>
      <c r="J104" s="975"/>
      <c r="K104" s="975"/>
      <c r="L104" s="975"/>
      <c r="M104" s="975"/>
      <c r="N104" s="975"/>
      <c r="O104" s="975"/>
      <c r="P104" s="975"/>
      <c r="Q104" s="978"/>
      <c r="R104" s="157">
        <f>ROUND(Q50*0.15,2)</f>
        <v>1.8</v>
      </c>
      <c r="S104" s="156" t="s">
        <v>18</v>
      </c>
      <c r="T104" s="9"/>
      <c r="U104" s="10"/>
      <c r="V104" s="10"/>
      <c r="W104" s="454"/>
    </row>
    <row r="105" spans="2:27" ht="14.1" customHeight="1">
      <c r="B105" s="431"/>
      <c r="C105" s="10"/>
      <c r="D105" s="11"/>
      <c r="E105" s="10"/>
      <c r="F105" s="10"/>
      <c r="G105" s="10"/>
      <c r="H105" s="10"/>
      <c r="I105" s="10"/>
      <c r="J105" s="10"/>
      <c r="K105" s="10"/>
      <c r="L105" s="10"/>
      <c r="M105" s="10"/>
      <c r="N105" s="10"/>
      <c r="O105" s="10"/>
      <c r="P105" s="10"/>
      <c r="Q105" s="10"/>
      <c r="R105" s="11"/>
      <c r="S105" s="11"/>
      <c r="T105" s="10"/>
      <c r="U105" s="10"/>
      <c r="V105" s="10"/>
      <c r="W105" s="454"/>
    </row>
    <row r="106" spans="2:27" ht="14.1" customHeight="1">
      <c r="B106" s="451"/>
      <c r="C106" s="10"/>
      <c r="D106" s="11"/>
      <c r="E106" s="10"/>
      <c r="F106" s="10"/>
      <c r="G106" s="10"/>
      <c r="H106" s="10"/>
      <c r="I106" s="10"/>
      <c r="J106" s="10"/>
      <c r="K106" s="10"/>
      <c r="L106" s="10"/>
      <c r="M106" s="10"/>
      <c r="N106" s="10"/>
      <c r="O106" s="10"/>
      <c r="P106" s="10"/>
      <c r="Q106" s="10"/>
      <c r="R106" s="11"/>
      <c r="S106" s="11"/>
      <c r="T106" s="10"/>
      <c r="U106" s="10"/>
      <c r="V106" s="10"/>
      <c r="W106" s="454"/>
    </row>
    <row r="107" spans="2:27" ht="14.1" customHeight="1">
      <c r="C107" s="444"/>
      <c r="D107" s="29" t="s">
        <v>392</v>
      </c>
      <c r="E107" s="505" t="s">
        <v>24</v>
      </c>
      <c r="F107" s="506"/>
      <c r="G107" s="506"/>
      <c r="H107" s="506"/>
      <c r="I107" s="506"/>
      <c r="J107" s="506"/>
      <c r="K107" s="506"/>
      <c r="L107" s="506"/>
      <c r="M107" s="506"/>
      <c r="N107" s="506"/>
      <c r="O107" s="506"/>
      <c r="P107" s="507"/>
      <c r="Q107" s="41"/>
      <c r="R107" s="29"/>
      <c r="S107" s="29"/>
      <c r="T107" s="456"/>
      <c r="U107" s="452"/>
      <c r="V107" s="452"/>
      <c r="W107" s="438"/>
    </row>
    <row r="108" spans="2:27" ht="6.95" customHeight="1">
      <c r="B108" s="451"/>
      <c r="C108" s="10"/>
      <c r="D108" s="29"/>
      <c r="E108" s="41"/>
      <c r="F108" s="41"/>
      <c r="G108" s="41"/>
      <c r="H108" s="41"/>
      <c r="I108" s="41"/>
      <c r="J108" s="41"/>
      <c r="K108" s="41"/>
      <c r="L108" s="41"/>
      <c r="M108" s="41"/>
      <c r="N108" s="41"/>
      <c r="O108" s="41"/>
      <c r="P108" s="41"/>
      <c r="Q108" s="41"/>
      <c r="R108" s="29"/>
      <c r="S108" s="29"/>
      <c r="T108" s="41"/>
      <c r="U108" s="10"/>
      <c r="V108" s="10"/>
      <c r="W108" s="454"/>
    </row>
    <row r="109" spans="2:27" ht="14.1" customHeight="1">
      <c r="B109" s="451"/>
      <c r="C109" s="10"/>
      <c r="D109" s="29"/>
      <c r="E109" s="979" t="s">
        <v>141</v>
      </c>
      <c r="F109" s="980"/>
      <c r="G109" s="980"/>
      <c r="H109" s="980"/>
      <c r="I109" s="980"/>
      <c r="J109" s="980"/>
      <c r="K109" s="980"/>
      <c r="L109" s="980"/>
      <c r="M109" s="980"/>
      <c r="N109" s="980"/>
      <c r="O109" s="980"/>
      <c r="P109" s="980"/>
      <c r="Q109" s="981"/>
      <c r="R109" s="159">
        <f>ROUND(Q50*1,2)</f>
        <v>12</v>
      </c>
      <c r="S109" s="498" t="s">
        <v>17</v>
      </c>
      <c r="T109" s="41"/>
      <c r="U109" s="10"/>
      <c r="V109" s="10"/>
      <c r="W109" s="454"/>
    </row>
    <row r="110" spans="2:27" ht="14.1" customHeight="1">
      <c r="B110" s="451"/>
      <c r="C110" s="10"/>
      <c r="D110" s="29"/>
      <c r="E110" s="41"/>
      <c r="F110" s="41"/>
      <c r="G110" s="41"/>
      <c r="H110" s="41"/>
      <c r="I110" s="41"/>
      <c r="J110" s="41"/>
      <c r="K110" s="41"/>
      <c r="L110" s="41"/>
      <c r="M110" s="41"/>
      <c r="N110" s="41"/>
      <c r="O110" s="41"/>
      <c r="P110" s="41"/>
      <c r="Q110" s="41"/>
      <c r="R110" s="29"/>
      <c r="S110" s="29"/>
      <c r="T110" s="41"/>
      <c r="U110" s="10"/>
      <c r="V110" s="10"/>
      <c r="W110" s="454"/>
    </row>
    <row r="111" spans="2:27" ht="14.1" customHeight="1">
      <c r="B111" s="451"/>
      <c r="C111" s="10"/>
      <c r="D111" s="11"/>
      <c r="E111" s="10"/>
      <c r="F111" s="10"/>
      <c r="G111" s="10"/>
      <c r="H111" s="10"/>
      <c r="I111" s="10"/>
      <c r="J111" s="10"/>
      <c r="K111" s="10"/>
      <c r="L111" s="10"/>
      <c r="M111" s="10"/>
      <c r="N111" s="10"/>
      <c r="O111" s="10"/>
      <c r="P111" s="10"/>
      <c r="Q111" s="10"/>
      <c r="R111" s="11"/>
      <c r="S111" s="11"/>
      <c r="T111" s="10"/>
      <c r="U111" s="10"/>
      <c r="V111" s="10"/>
      <c r="W111" s="454"/>
    </row>
    <row r="112" spans="2:27" ht="14.1" customHeight="1">
      <c r="C112" s="444"/>
      <c r="D112" s="11" t="s">
        <v>1282</v>
      </c>
      <c r="E112" s="8" t="s">
        <v>353</v>
      </c>
      <c r="F112" s="179"/>
      <c r="G112" s="179"/>
      <c r="H112" s="179"/>
      <c r="I112" s="179"/>
      <c r="J112" s="179"/>
      <c r="K112" s="179"/>
      <c r="L112" s="179"/>
      <c r="M112" s="179"/>
      <c r="N112" s="179"/>
      <c r="O112" s="179"/>
      <c r="P112" s="179"/>
      <c r="Q112" s="9"/>
      <c r="R112" s="11"/>
      <c r="S112" s="11"/>
      <c r="T112" s="452"/>
      <c r="U112" s="452"/>
      <c r="V112" s="452"/>
      <c r="W112" s="438"/>
    </row>
    <row r="113" spans="2:23" ht="6.95" customHeight="1">
      <c r="B113" s="451"/>
      <c r="C113" s="10"/>
      <c r="D113" s="11"/>
      <c r="E113" s="10"/>
      <c r="F113" s="10"/>
      <c r="G113" s="10"/>
      <c r="H113" s="10"/>
      <c r="I113" s="10"/>
      <c r="J113" s="10"/>
      <c r="K113" s="10"/>
      <c r="L113" s="10"/>
      <c r="M113" s="10"/>
      <c r="N113" s="10"/>
      <c r="O113" s="10"/>
      <c r="P113" s="10"/>
      <c r="Q113" s="10"/>
      <c r="R113" s="11"/>
      <c r="S113" s="11"/>
      <c r="T113" s="10"/>
      <c r="U113" s="10"/>
      <c r="V113" s="10"/>
      <c r="W113" s="454"/>
    </row>
    <row r="114" spans="2:23" ht="14.1" customHeight="1">
      <c r="B114" s="451"/>
      <c r="C114" s="10"/>
      <c r="D114" s="10"/>
      <c r="E114" s="974" t="s">
        <v>1211</v>
      </c>
      <c r="F114" s="975"/>
      <c r="G114" s="975"/>
      <c r="H114" s="975"/>
      <c r="I114" s="975"/>
      <c r="J114" s="975"/>
      <c r="K114" s="975"/>
      <c r="L114" s="975"/>
      <c r="M114" s="975"/>
      <c r="N114" s="975"/>
      <c r="O114" s="975"/>
      <c r="P114" s="975"/>
      <c r="Q114" s="976"/>
      <c r="R114" s="157">
        <f>ROUND(Q50*0.05,2)</f>
        <v>0.6</v>
      </c>
      <c r="S114" s="156" t="s">
        <v>18</v>
      </c>
      <c r="T114" s="10"/>
      <c r="U114" s="10"/>
      <c r="V114" s="10"/>
      <c r="W114" s="438"/>
    </row>
    <row r="115" spans="2:23" ht="14.1" customHeight="1">
      <c r="B115" s="451"/>
      <c r="C115" s="10"/>
      <c r="D115" s="10"/>
      <c r="E115" s="974"/>
      <c r="F115" s="975"/>
      <c r="G115" s="975"/>
      <c r="H115" s="975"/>
      <c r="I115" s="975"/>
      <c r="J115" s="975"/>
      <c r="K115" s="975"/>
      <c r="L115" s="975"/>
      <c r="M115" s="975"/>
      <c r="N115" s="975"/>
      <c r="O115" s="975"/>
      <c r="P115" s="975"/>
      <c r="Q115" s="975"/>
      <c r="T115" s="9"/>
      <c r="U115" s="10"/>
      <c r="V115" s="10"/>
      <c r="W115" s="454"/>
    </row>
    <row r="116" spans="2:23" ht="14.1" customHeight="1">
      <c r="C116" s="86"/>
      <c r="D116" s="86"/>
      <c r="E116" s="123"/>
      <c r="F116" s="123"/>
      <c r="G116" s="123"/>
      <c r="H116" s="123"/>
      <c r="I116" s="123"/>
      <c r="J116" s="123"/>
      <c r="K116" s="123"/>
      <c r="L116" s="123"/>
      <c r="M116" s="123"/>
      <c r="N116" s="123"/>
      <c r="O116" s="123"/>
      <c r="P116" s="123"/>
      <c r="Q116" s="123"/>
      <c r="R116" s="158"/>
      <c r="S116" s="403"/>
      <c r="T116" s="86"/>
      <c r="U116" s="86"/>
      <c r="V116" s="9"/>
      <c r="W116" s="432"/>
    </row>
    <row r="117" spans="2:23" ht="22.5" customHeight="1">
      <c r="C117" s="117" t="s">
        <v>250</v>
      </c>
      <c r="D117" s="508" t="s">
        <v>1140</v>
      </c>
      <c r="E117" s="509"/>
      <c r="F117" s="509"/>
      <c r="G117" s="509"/>
      <c r="H117" s="509"/>
      <c r="I117" s="509"/>
      <c r="J117" s="509"/>
      <c r="K117" s="509"/>
      <c r="L117" s="509"/>
      <c r="M117" s="509"/>
      <c r="N117" s="509"/>
      <c r="O117" s="509"/>
      <c r="P117" s="509"/>
      <c r="Q117" s="509"/>
      <c r="R117" s="509"/>
      <c r="S117" s="509"/>
      <c r="T117" s="509"/>
      <c r="U117" s="509"/>
      <c r="V117" s="510"/>
      <c r="W117" s="432"/>
    </row>
    <row r="118" spans="2:23" ht="22.5" customHeight="1">
      <c r="D118" s="129" t="s">
        <v>396</v>
      </c>
      <c r="E118" s="130" t="s">
        <v>185</v>
      </c>
      <c r="F118" s="395"/>
      <c r="G118" s="395"/>
      <c r="H118" s="395"/>
      <c r="I118" s="395"/>
      <c r="J118" s="395"/>
      <c r="K118" s="395"/>
      <c r="L118" s="395"/>
      <c r="M118" s="395"/>
      <c r="N118" s="395"/>
      <c r="O118" s="395"/>
      <c r="P118" s="395"/>
      <c r="R118" s="157">
        <f>1*1.5</f>
        <v>1.5</v>
      </c>
      <c r="S118" s="156" t="s">
        <v>0</v>
      </c>
      <c r="U118" s="512" t="s">
        <v>822</v>
      </c>
      <c r="V118" s="513">
        <v>0.5</v>
      </c>
      <c r="W118" s="514" t="s">
        <v>0</v>
      </c>
    </row>
    <row r="119" spans="2:23" ht="22.5" customHeight="1">
      <c r="D119" s="129" t="s">
        <v>397</v>
      </c>
      <c r="E119" s="130" t="s">
        <v>355</v>
      </c>
      <c r="F119" s="395"/>
      <c r="G119" s="395"/>
      <c r="H119" s="395"/>
      <c r="I119" s="395"/>
      <c r="J119" s="395"/>
      <c r="K119" s="395"/>
      <c r="L119" s="395"/>
      <c r="M119" s="395"/>
      <c r="N119" s="395"/>
      <c r="O119" s="395"/>
      <c r="P119" s="395"/>
      <c r="R119" s="157">
        <v>1</v>
      </c>
      <c r="S119" s="497" t="s">
        <v>987</v>
      </c>
      <c r="U119" s="515" t="s">
        <v>858</v>
      </c>
      <c r="V119" s="156">
        <v>0.5</v>
      </c>
      <c r="W119" s="516" t="s">
        <v>0</v>
      </c>
    </row>
    <row r="120" spans="2:23" ht="22.5" customHeight="1">
      <c r="D120" s="129" t="s">
        <v>398</v>
      </c>
      <c r="E120" s="130" t="s">
        <v>168</v>
      </c>
      <c r="F120" s="395"/>
      <c r="G120" s="395"/>
      <c r="H120" s="395"/>
      <c r="I120" s="395"/>
      <c r="J120" s="395"/>
      <c r="K120" s="395"/>
      <c r="L120" s="395"/>
      <c r="M120" s="395"/>
      <c r="N120" s="395"/>
      <c r="O120" s="395"/>
      <c r="P120" s="395"/>
      <c r="R120" s="157">
        <v>1</v>
      </c>
      <c r="S120" s="497" t="s">
        <v>987</v>
      </c>
      <c r="U120" s="517" t="s">
        <v>1167</v>
      </c>
      <c r="V120" s="518">
        <v>0.15</v>
      </c>
      <c r="W120" s="519" t="s">
        <v>0</v>
      </c>
    </row>
    <row r="121" spans="2:23" ht="22.5" customHeight="1">
      <c r="D121" s="129" t="s">
        <v>399</v>
      </c>
      <c r="E121" s="130" t="s">
        <v>119</v>
      </c>
      <c r="F121" s="395"/>
      <c r="G121" s="395"/>
      <c r="H121" s="395"/>
      <c r="I121" s="395"/>
      <c r="J121" s="395"/>
      <c r="K121" s="395"/>
      <c r="L121" s="395"/>
      <c r="M121" s="395"/>
      <c r="N121" s="395"/>
      <c r="O121" s="395"/>
      <c r="P121" s="395"/>
      <c r="R121" s="157">
        <f>1*(V118*V119*V120)</f>
        <v>3.7499999999999999E-2</v>
      </c>
      <c r="S121" s="156" t="s">
        <v>18</v>
      </c>
      <c r="V121" s="452"/>
    </row>
    <row r="122" spans="2:23" ht="22.5" customHeight="1">
      <c r="D122" s="129" t="s">
        <v>400</v>
      </c>
      <c r="E122" s="130" t="s">
        <v>120</v>
      </c>
      <c r="F122" s="395"/>
      <c r="G122" s="395"/>
      <c r="H122" s="395"/>
      <c r="I122" s="395"/>
      <c r="J122" s="395"/>
      <c r="K122" s="395"/>
      <c r="L122" s="395"/>
      <c r="M122" s="395"/>
      <c r="N122" s="395"/>
      <c r="O122" s="395"/>
      <c r="P122" s="395"/>
      <c r="R122" s="157">
        <f>1*((V118*2+V119*2)*V120)</f>
        <v>0.3</v>
      </c>
      <c r="S122" s="156" t="s">
        <v>17</v>
      </c>
      <c r="V122" s="9"/>
      <c r="W122" s="432"/>
    </row>
    <row r="123" spans="2:23" ht="22.5" customHeight="1">
      <c r="D123" s="129" t="s">
        <v>401</v>
      </c>
      <c r="E123" s="130" t="s">
        <v>117</v>
      </c>
      <c r="F123" s="395"/>
      <c r="G123" s="395"/>
      <c r="H123" s="395"/>
      <c r="I123" s="395"/>
      <c r="J123" s="395"/>
      <c r="K123" s="395"/>
      <c r="L123" s="395"/>
      <c r="M123" s="395"/>
      <c r="N123" s="395"/>
      <c r="O123" s="395"/>
      <c r="P123" s="395"/>
      <c r="R123" s="157">
        <f>R121*80</f>
        <v>3</v>
      </c>
      <c r="S123" s="156" t="s">
        <v>130</v>
      </c>
      <c r="V123" s="9"/>
      <c r="W123" s="432"/>
    </row>
    <row r="124" spans="2:23">
      <c r="D124" s="403"/>
      <c r="E124" s="395"/>
      <c r="F124" s="395"/>
      <c r="G124" s="395"/>
      <c r="H124" s="395"/>
      <c r="I124" s="395"/>
      <c r="J124" s="395"/>
      <c r="K124" s="395"/>
      <c r="L124" s="395"/>
      <c r="M124" s="395"/>
      <c r="N124" s="395"/>
      <c r="O124" s="395"/>
      <c r="P124" s="395"/>
      <c r="V124" s="9"/>
      <c r="W124" s="432"/>
    </row>
    <row r="125" spans="2:23">
      <c r="C125" s="117" t="s">
        <v>251</v>
      </c>
      <c r="D125" s="508" t="s">
        <v>1204</v>
      </c>
      <c r="E125" s="509"/>
      <c r="F125" s="509"/>
      <c r="G125" s="509"/>
      <c r="H125" s="509"/>
      <c r="I125" s="509"/>
      <c r="J125" s="509"/>
      <c r="K125" s="509"/>
      <c r="L125" s="509"/>
      <c r="M125" s="509"/>
      <c r="N125" s="509"/>
      <c r="O125" s="509"/>
      <c r="P125" s="509"/>
      <c r="Q125" s="509"/>
      <c r="R125" s="509"/>
      <c r="S125" s="509"/>
      <c r="T125" s="509"/>
      <c r="U125" s="509"/>
      <c r="V125" s="510"/>
      <c r="W125" s="432"/>
    </row>
    <row r="126" spans="2:23" ht="50.25" customHeight="1">
      <c r="D126" s="129" t="s">
        <v>402</v>
      </c>
      <c r="E126" s="130" t="s">
        <v>186</v>
      </c>
      <c r="F126" s="395"/>
      <c r="G126" s="395"/>
      <c r="H126" s="395"/>
      <c r="I126" s="395"/>
      <c r="J126" s="395"/>
      <c r="K126" s="395"/>
      <c r="L126" s="395"/>
      <c r="M126" s="395"/>
      <c r="N126" s="395"/>
      <c r="O126" s="395"/>
      <c r="P126" s="395"/>
      <c r="R126" s="157">
        <f>V126</f>
        <v>1</v>
      </c>
      <c r="S126" s="497" t="s">
        <v>987</v>
      </c>
      <c r="U126" s="522" t="s">
        <v>1168</v>
      </c>
      <c r="V126" s="523">
        <v>1</v>
      </c>
      <c r="W126" s="511" t="s">
        <v>118</v>
      </c>
    </row>
    <row r="127" spans="2:23" ht="14.1" customHeight="1">
      <c r="B127" s="457"/>
      <c r="C127" s="457"/>
      <c r="D127" s="457"/>
      <c r="E127" s="457"/>
      <c r="F127" s="457"/>
      <c r="G127" s="457"/>
      <c r="H127" s="457"/>
      <c r="I127" s="457"/>
      <c r="J127" s="457"/>
      <c r="K127" s="457"/>
      <c r="L127" s="457"/>
      <c r="M127" s="457"/>
      <c r="N127" s="457"/>
      <c r="O127" s="457"/>
      <c r="P127" s="457"/>
      <c r="Q127" s="457"/>
      <c r="R127" s="430"/>
      <c r="S127" s="430"/>
      <c r="T127" s="457"/>
      <c r="U127" s="457"/>
      <c r="V127" s="9"/>
      <c r="W127" s="432"/>
    </row>
    <row r="128" spans="2:23" ht="14.1" customHeight="1">
      <c r="B128" s="446"/>
      <c r="C128" s="117" t="s">
        <v>252</v>
      </c>
      <c r="D128" s="476" t="s">
        <v>19</v>
      </c>
      <c r="E128" s="477"/>
      <c r="F128" s="477"/>
      <c r="G128" s="477"/>
      <c r="H128" s="477"/>
      <c r="I128" s="477"/>
      <c r="J128" s="477"/>
      <c r="K128" s="477"/>
      <c r="L128" s="477"/>
      <c r="M128" s="477"/>
      <c r="N128" s="477"/>
      <c r="O128" s="477"/>
      <c r="P128" s="477"/>
      <c r="Q128" s="477"/>
      <c r="R128" s="477"/>
      <c r="S128" s="477"/>
      <c r="T128" s="477"/>
      <c r="U128" s="477"/>
      <c r="V128" s="504"/>
      <c r="W128" s="432"/>
    </row>
    <row r="129" spans="2:23" ht="14.1" customHeight="1">
      <c r="B129" s="446"/>
      <c r="C129" s="10"/>
      <c r="D129" s="458"/>
      <c r="E129" s="458"/>
      <c r="F129" s="458"/>
      <c r="G129" s="458"/>
      <c r="H129" s="458"/>
      <c r="I129" s="458"/>
      <c r="J129" s="458"/>
      <c r="K129" s="458"/>
      <c r="L129" s="458"/>
      <c r="M129" s="458"/>
      <c r="N129" s="24"/>
      <c r="O129" s="458"/>
      <c r="P129" s="458"/>
      <c r="Q129" s="458"/>
      <c r="R129" s="136"/>
      <c r="S129" s="136"/>
      <c r="T129" s="458"/>
      <c r="U129" s="458"/>
      <c r="V129" s="458"/>
      <c r="W129" s="432"/>
    </row>
    <row r="130" spans="2:23" ht="14.1" customHeight="1">
      <c r="B130" s="446"/>
      <c r="C130" s="10"/>
      <c r="D130" s="1149" t="s">
        <v>102</v>
      </c>
      <c r="E130" s="1150"/>
      <c r="F130" s="1150"/>
      <c r="G130" s="1150"/>
      <c r="H130" s="1150"/>
      <c r="I130" s="1150"/>
      <c r="J130" s="1151"/>
      <c r="K130" s="524"/>
      <c r="L130" s="524"/>
      <c r="M130" s="524"/>
      <c r="N130" s="137"/>
      <c r="O130" s="135" t="s">
        <v>1173</v>
      </c>
      <c r="P130" s="135"/>
      <c r="Q130" s="524"/>
      <c r="R130" s="524"/>
      <c r="S130" s="524"/>
      <c r="T130" s="524"/>
      <c r="U130" s="524"/>
      <c r="V130" s="524"/>
      <c r="W130" s="432"/>
    </row>
    <row r="131" spans="2:23">
      <c r="B131" s="446"/>
      <c r="C131" s="10"/>
      <c r="D131" s="1152" t="s">
        <v>103</v>
      </c>
      <c r="E131" s="1153"/>
      <c r="F131" s="1153"/>
      <c r="G131" s="1153"/>
      <c r="H131" s="1153"/>
      <c r="I131" s="1153"/>
      <c r="J131" s="1154"/>
      <c r="K131" s="524"/>
      <c r="L131" s="524"/>
      <c r="M131" s="524"/>
      <c r="N131" s="138"/>
      <c r="O131" s="527">
        <f>I50</f>
        <v>3</v>
      </c>
      <c r="P131" s="526" t="s">
        <v>987</v>
      </c>
      <c r="Q131" s="525"/>
      <c r="R131" s="525"/>
      <c r="S131" s="1145"/>
      <c r="T131" s="1145"/>
      <c r="U131" s="1145"/>
      <c r="V131" s="1145"/>
      <c r="W131" s="432"/>
    </row>
    <row r="132" spans="2:23">
      <c r="B132" s="446"/>
      <c r="C132" s="10"/>
      <c r="D132" s="1146"/>
      <c r="E132" s="1146"/>
      <c r="F132" s="1146"/>
      <c r="G132" s="1146"/>
      <c r="H132" s="1146"/>
      <c r="I132" s="1146"/>
      <c r="J132" s="1146"/>
      <c r="K132" s="1147"/>
      <c r="L132" s="1147"/>
      <c r="M132" s="1147"/>
      <c r="N132" s="139"/>
      <c r="O132" s="1147"/>
      <c r="P132" s="1147"/>
      <c r="Q132" s="1017"/>
      <c r="R132" s="1017"/>
      <c r="S132" s="1017"/>
      <c r="T132" s="1017"/>
      <c r="U132" s="1015"/>
      <c r="V132" s="1015"/>
      <c r="W132" s="432"/>
    </row>
    <row r="133" spans="2:23" ht="24" customHeight="1">
      <c r="B133" s="446"/>
      <c r="C133" s="10"/>
      <c r="D133" s="93">
        <v>1</v>
      </c>
      <c r="E133" s="394" t="s">
        <v>108</v>
      </c>
      <c r="F133" s="1155" t="s">
        <v>1110</v>
      </c>
      <c r="G133" s="1156"/>
      <c r="H133" s="1157"/>
      <c r="I133" s="93">
        <f>ROUNDUP($O$131*D133,0)</f>
        <v>3</v>
      </c>
      <c r="J133" s="394" t="s">
        <v>108</v>
      </c>
      <c r="K133" s="1147"/>
      <c r="L133" s="1147"/>
      <c r="M133" s="1147"/>
      <c r="N133" s="140"/>
      <c r="O133" s="135"/>
      <c r="P133" s="135"/>
      <c r="Q133" s="135"/>
      <c r="R133" s="135"/>
      <c r="S133" s="135"/>
      <c r="T133" s="135"/>
      <c r="U133" s="135"/>
      <c r="V133" s="135"/>
      <c r="W133" s="432"/>
    </row>
    <row r="134" spans="2:23" ht="30" customHeight="1">
      <c r="B134" s="446"/>
      <c r="C134" s="10"/>
      <c r="D134" s="93">
        <v>2</v>
      </c>
      <c r="E134" s="394" t="s">
        <v>108</v>
      </c>
      <c r="F134" s="1155" t="s">
        <v>1112</v>
      </c>
      <c r="G134" s="1156"/>
      <c r="H134" s="1157"/>
      <c r="I134" s="93">
        <f t="shared" ref="I134:I136" si="0">ROUNDUP($O$131*D134,0)</f>
        <v>6</v>
      </c>
      <c r="J134" s="394" t="s">
        <v>108</v>
      </c>
      <c r="K134" s="1147"/>
      <c r="L134" s="1147"/>
      <c r="M134" s="1147"/>
      <c r="N134" s="140"/>
      <c r="O134" s="524"/>
      <c r="P134" s="135"/>
      <c r="Q134" s="524"/>
      <c r="R134" s="524"/>
      <c r="S134" s="1148"/>
      <c r="T134" s="1148"/>
      <c r="U134" s="1148"/>
      <c r="V134" s="1148"/>
      <c r="W134" s="432"/>
    </row>
    <row r="135" spans="2:23" ht="24" customHeight="1">
      <c r="B135" s="446"/>
      <c r="C135" s="10"/>
      <c r="D135" s="93">
        <v>8</v>
      </c>
      <c r="E135" s="394" t="s">
        <v>108</v>
      </c>
      <c r="F135" s="1155" t="s">
        <v>1114</v>
      </c>
      <c r="G135" s="1156"/>
      <c r="H135" s="1157"/>
      <c r="I135" s="93">
        <f t="shared" si="0"/>
        <v>24</v>
      </c>
      <c r="J135" s="394" t="s">
        <v>108</v>
      </c>
      <c r="K135" s="1147"/>
      <c r="L135" s="1147"/>
      <c r="M135" s="1147"/>
      <c r="N135" s="140"/>
      <c r="O135" s="134"/>
      <c r="P135" s="405"/>
      <c r="Q135" s="1015"/>
      <c r="R135" s="1015"/>
      <c r="S135" s="134"/>
      <c r="T135" s="405"/>
      <c r="U135" s="1015"/>
      <c r="V135" s="1015"/>
      <c r="W135" s="432"/>
    </row>
    <row r="136" spans="2:23" ht="22.5" customHeight="1">
      <c r="B136" s="446"/>
      <c r="C136" s="10"/>
      <c r="D136" s="93">
        <v>8</v>
      </c>
      <c r="E136" s="394" t="s">
        <v>108</v>
      </c>
      <c r="F136" s="1155" t="s">
        <v>1116</v>
      </c>
      <c r="G136" s="1156"/>
      <c r="H136" s="1157"/>
      <c r="I136" s="93">
        <f t="shared" si="0"/>
        <v>24</v>
      </c>
      <c r="J136" s="394" t="s">
        <v>108</v>
      </c>
      <c r="K136" s="1147"/>
      <c r="L136" s="1147"/>
      <c r="M136" s="1147"/>
      <c r="N136" s="140"/>
      <c r="O136" s="406"/>
      <c r="P136" s="405"/>
      <c r="Q136" s="1015"/>
      <c r="R136" s="1015"/>
      <c r="S136" s="134"/>
      <c r="T136" s="405"/>
      <c r="U136" s="1015"/>
      <c r="V136" s="1015"/>
      <c r="W136" s="432"/>
    </row>
    <row r="137" spans="2:23">
      <c r="B137" s="446"/>
      <c r="C137" s="10"/>
      <c r="D137" s="88"/>
      <c r="E137" s="88"/>
      <c r="F137" s="88"/>
      <c r="G137" s="88"/>
      <c r="H137" s="88"/>
      <c r="I137" s="88"/>
      <c r="J137" s="88"/>
      <c r="K137" s="474"/>
      <c r="L137" s="474"/>
      <c r="M137" s="459"/>
      <c r="N137" s="23"/>
      <c r="O137" s="133"/>
      <c r="P137" s="135"/>
      <c r="Q137" s="994"/>
      <c r="R137" s="994"/>
      <c r="S137" s="134"/>
      <c r="T137" s="405"/>
      <c r="U137" s="994"/>
      <c r="V137" s="994"/>
      <c r="W137" s="432"/>
    </row>
    <row r="138" spans="2:23">
      <c r="B138" s="446"/>
      <c r="C138" s="10"/>
      <c r="D138" s="88"/>
      <c r="E138" s="88"/>
      <c r="F138" s="88"/>
      <c r="G138" s="88"/>
      <c r="H138" s="88"/>
      <c r="I138" s="88"/>
      <c r="J138" s="88"/>
      <c r="K138" s="88"/>
      <c r="L138" s="88"/>
      <c r="M138" s="88"/>
      <c r="N138" s="459"/>
      <c r="O138" s="133"/>
      <c r="P138" s="135"/>
      <c r="Q138" s="994"/>
      <c r="R138" s="994"/>
      <c r="S138" s="134"/>
      <c r="T138" s="405"/>
      <c r="U138" s="994"/>
      <c r="V138" s="994"/>
      <c r="W138" s="432"/>
    </row>
    <row r="139" spans="2:23" ht="14.1" customHeight="1">
      <c r="B139" s="446"/>
      <c r="C139" s="10"/>
      <c r="D139" s="1011" t="s">
        <v>115</v>
      </c>
      <c r="E139" s="1012"/>
      <c r="F139" s="1012"/>
      <c r="G139" s="1012"/>
      <c r="H139" s="1013"/>
      <c r="I139" s="88"/>
      <c r="J139" s="88"/>
      <c r="K139" s="88"/>
      <c r="L139" s="88"/>
      <c r="M139" s="88"/>
      <c r="N139" s="88"/>
      <c r="O139" s="88"/>
      <c r="P139" s="88"/>
      <c r="Q139" s="88"/>
      <c r="S139" s="154"/>
      <c r="T139" s="88"/>
      <c r="U139" s="88"/>
      <c r="V139" s="88"/>
      <c r="W139" s="432"/>
    </row>
    <row r="140" spans="2:23" ht="14.1" customHeight="1">
      <c r="B140" s="446"/>
      <c r="C140" s="10"/>
      <c r="D140" s="11" t="s">
        <v>403</v>
      </c>
      <c r="E140" s="489" t="s">
        <v>1169</v>
      </c>
      <c r="F140" s="489"/>
      <c r="G140" s="489"/>
      <c r="H140" s="487"/>
      <c r="I140" s="88"/>
      <c r="J140" s="88"/>
      <c r="K140" s="88"/>
      <c r="L140" s="88"/>
      <c r="M140" s="88"/>
      <c r="N140" s="88"/>
      <c r="O140" s="88"/>
      <c r="P140" s="88"/>
      <c r="Q140" s="88"/>
      <c r="R140" s="157">
        <f>1*3</f>
        <v>3</v>
      </c>
      <c r="S140" s="11" t="s">
        <v>352</v>
      </c>
      <c r="T140" s="88"/>
      <c r="U140" s="88"/>
      <c r="V140" s="88"/>
      <c r="W140" s="432"/>
    </row>
    <row r="141" spans="2:23" ht="14.1" customHeight="1">
      <c r="B141" s="446"/>
      <c r="C141" s="10"/>
      <c r="D141" s="11" t="s">
        <v>404</v>
      </c>
      <c r="E141" s="489" t="s">
        <v>1170</v>
      </c>
      <c r="F141" s="489"/>
      <c r="G141" s="489"/>
      <c r="H141" s="487"/>
      <c r="I141" s="88"/>
      <c r="J141" s="88"/>
      <c r="K141" s="88"/>
      <c r="L141" s="88"/>
      <c r="M141" s="88"/>
      <c r="N141" s="88"/>
      <c r="O141" s="88"/>
      <c r="P141" s="88"/>
      <c r="Q141" s="88"/>
      <c r="R141" s="157">
        <f>I134</f>
        <v>6</v>
      </c>
      <c r="S141" s="11" t="s">
        <v>352</v>
      </c>
      <c r="T141" s="88"/>
      <c r="U141" s="88"/>
      <c r="V141" s="88"/>
      <c r="W141" s="432"/>
    </row>
    <row r="142" spans="2:23" ht="14.1" customHeight="1">
      <c r="B142" s="446"/>
      <c r="C142" s="10"/>
      <c r="D142" s="11" t="s">
        <v>405</v>
      </c>
      <c r="E142" s="489" t="s">
        <v>1171</v>
      </c>
      <c r="F142" s="489"/>
      <c r="G142" s="489"/>
      <c r="H142" s="487"/>
      <c r="I142" s="88"/>
      <c r="J142" s="88"/>
      <c r="K142" s="88"/>
      <c r="L142" s="88"/>
      <c r="M142" s="88"/>
      <c r="N142" s="88"/>
      <c r="O142" s="88"/>
      <c r="P142" s="88"/>
      <c r="Q142" s="88"/>
      <c r="R142" s="157">
        <f>I135</f>
        <v>24</v>
      </c>
      <c r="S142" s="11" t="s">
        <v>352</v>
      </c>
      <c r="T142" s="88"/>
      <c r="U142" s="88"/>
      <c r="V142" s="88"/>
      <c r="W142" s="432"/>
    </row>
    <row r="143" spans="2:23" ht="14.1" customHeight="1">
      <c r="B143" s="446"/>
      <c r="C143" s="10"/>
      <c r="D143" s="11" t="s">
        <v>406</v>
      </c>
      <c r="E143" s="489" t="s">
        <v>1172</v>
      </c>
      <c r="F143" s="489"/>
      <c r="G143" s="489"/>
      <c r="H143" s="487"/>
      <c r="I143" s="88"/>
      <c r="J143" s="88"/>
      <c r="K143" s="88"/>
      <c r="L143" s="88"/>
      <c r="M143" s="88"/>
      <c r="N143" s="88"/>
      <c r="O143" s="88"/>
      <c r="P143" s="88"/>
      <c r="Q143" s="88"/>
      <c r="R143" s="157">
        <f>I136</f>
        <v>24</v>
      </c>
      <c r="S143" s="11" t="s">
        <v>352</v>
      </c>
      <c r="T143" s="88"/>
      <c r="U143" s="88"/>
      <c r="V143" s="88"/>
      <c r="W143" s="432"/>
    </row>
    <row r="144" spans="2:23" ht="14.1" customHeight="1">
      <c r="B144" s="446"/>
      <c r="C144" s="10"/>
      <c r="D144" s="11"/>
      <c r="E144" s="397"/>
      <c r="F144" s="397"/>
      <c r="G144" s="397"/>
      <c r="H144" s="487"/>
      <c r="I144" s="88"/>
      <c r="J144" s="88"/>
      <c r="K144" s="88"/>
      <c r="L144" s="88"/>
      <c r="M144" s="88"/>
      <c r="N144" s="88"/>
      <c r="O144" s="88"/>
      <c r="P144" s="88"/>
      <c r="Q144" s="88"/>
      <c r="S144" s="154"/>
      <c r="T144" s="88"/>
      <c r="U144" s="88"/>
      <c r="V144" s="88"/>
      <c r="W144" s="432"/>
    </row>
    <row r="145" spans="2:23" ht="14.1" customHeight="1">
      <c r="B145" s="446"/>
      <c r="C145" s="10"/>
      <c r="D145" s="10"/>
      <c r="E145" s="10"/>
      <c r="F145" s="10"/>
      <c r="G145" s="10"/>
      <c r="H145" s="10"/>
      <c r="I145" s="10"/>
      <c r="J145" s="10"/>
      <c r="K145" s="10"/>
      <c r="L145" s="10"/>
      <c r="M145" s="10"/>
      <c r="N145" s="10"/>
      <c r="O145" s="10"/>
      <c r="P145" s="9"/>
      <c r="Q145" s="10"/>
      <c r="R145" s="204"/>
      <c r="S145" s="11"/>
      <c r="T145" s="9"/>
      <c r="U145" s="9"/>
      <c r="V145" s="9"/>
      <c r="W145" s="432"/>
    </row>
    <row r="146" spans="2:23" ht="14.1" customHeight="1">
      <c r="B146" s="446"/>
      <c r="C146" s="117" t="s">
        <v>253</v>
      </c>
      <c r="D146" s="476" t="s">
        <v>162</v>
      </c>
      <c r="E146" s="477"/>
      <c r="F146" s="477"/>
      <c r="G146" s="477"/>
      <c r="H146" s="477"/>
      <c r="I146" s="477"/>
      <c r="J146" s="477"/>
      <c r="K146" s="477"/>
      <c r="L146" s="477"/>
      <c r="M146" s="477"/>
      <c r="N146" s="477"/>
      <c r="O146" s="477"/>
      <c r="P146" s="9"/>
      <c r="Q146" s="10"/>
      <c r="R146" s="11"/>
      <c r="S146" s="11"/>
      <c r="T146" s="9"/>
      <c r="U146" s="9"/>
      <c r="V146" s="9"/>
      <c r="W146" s="446"/>
    </row>
    <row r="147" spans="2:23" ht="14.1" customHeight="1">
      <c r="C147" s="444"/>
      <c r="D147" s="11" t="s">
        <v>288</v>
      </c>
      <c r="E147" s="8" t="s">
        <v>49</v>
      </c>
      <c r="G147" s="179"/>
      <c r="H147" s="179"/>
      <c r="I147" s="179"/>
      <c r="J147" s="179"/>
      <c r="K147" s="179"/>
      <c r="L147" s="179"/>
      <c r="M147" s="179"/>
      <c r="N147" s="179"/>
      <c r="O147" s="179"/>
      <c r="P147" s="9"/>
      <c r="Q147" s="10"/>
      <c r="R147" s="11"/>
      <c r="S147" s="11"/>
      <c r="T147" s="452"/>
      <c r="U147" s="452"/>
      <c r="V147" s="452"/>
      <c r="W147" s="438"/>
    </row>
    <row r="148" spans="2:23">
      <c r="B148" s="451"/>
      <c r="C148" s="10"/>
      <c r="D148" s="10"/>
      <c r="E148" s="444"/>
      <c r="F148" s="444"/>
      <c r="G148" s="444"/>
      <c r="H148" s="444"/>
      <c r="I148" s="444"/>
      <c r="J148" s="444"/>
      <c r="K148" s="444"/>
      <c r="L148" s="444"/>
      <c r="M148" s="444"/>
      <c r="N148" s="444"/>
      <c r="O148" s="444"/>
      <c r="P148" s="444"/>
      <c r="Q148" s="444"/>
      <c r="R148" s="11"/>
      <c r="S148" s="11"/>
      <c r="T148" s="10"/>
      <c r="U148" s="10"/>
      <c r="V148" s="10"/>
      <c r="W148" s="454"/>
    </row>
    <row r="149" spans="2:23" ht="15" customHeight="1">
      <c r="B149" s="451"/>
      <c r="C149" s="10"/>
      <c r="D149" s="8"/>
      <c r="E149" s="8" t="s">
        <v>1174</v>
      </c>
      <c r="G149" s="180"/>
      <c r="H149" s="180"/>
      <c r="I149" s="180"/>
      <c r="J149" s="180"/>
      <c r="K149" s="180"/>
      <c r="L149" s="180"/>
      <c r="M149" s="180"/>
      <c r="N149" s="180"/>
      <c r="O149" s="180"/>
      <c r="P149" s="180"/>
      <c r="Q149" s="180"/>
      <c r="R149" s="157">
        <f>Q50</f>
        <v>12</v>
      </c>
      <c r="S149" s="156" t="s">
        <v>17</v>
      </c>
      <c r="T149" s="10"/>
      <c r="U149" s="10"/>
      <c r="V149" s="10"/>
      <c r="W149" s="454"/>
    </row>
    <row r="150" spans="2:23" ht="15" customHeight="1">
      <c r="B150" s="451"/>
      <c r="C150" s="10"/>
      <c r="D150" s="8"/>
      <c r="E150" s="8"/>
      <c r="G150" s="180"/>
      <c r="H150" s="180"/>
      <c r="I150" s="180"/>
      <c r="J150" s="180"/>
      <c r="K150" s="180"/>
      <c r="L150" s="180"/>
      <c r="M150" s="180"/>
      <c r="N150" s="180"/>
      <c r="O150" s="180"/>
      <c r="P150" s="180"/>
      <c r="Q150" s="180"/>
      <c r="R150" s="158"/>
      <c r="S150" s="156"/>
      <c r="T150" s="9"/>
      <c r="U150" s="10"/>
      <c r="V150" s="10"/>
      <c r="W150" s="454"/>
    </row>
    <row r="151" spans="2:23" ht="14.1" customHeight="1">
      <c r="B151" s="451"/>
      <c r="C151" s="10"/>
      <c r="D151" s="8"/>
      <c r="E151" s="8"/>
      <c r="F151" s="986"/>
      <c r="G151" s="987"/>
      <c r="H151" s="987"/>
      <c r="I151" s="987"/>
      <c r="J151" s="987"/>
      <c r="K151" s="987"/>
      <c r="L151" s="987"/>
      <c r="M151" s="987"/>
      <c r="N151" s="987"/>
      <c r="O151" s="987"/>
      <c r="P151" s="987"/>
      <c r="Q151" s="1004"/>
      <c r="R151" s="403"/>
      <c r="S151" s="11"/>
      <c r="T151" s="9"/>
      <c r="U151" s="10"/>
      <c r="V151" s="10"/>
      <c r="W151" s="454"/>
    </row>
    <row r="152" spans="2:23" ht="14.1" customHeight="1">
      <c r="B152" s="451"/>
      <c r="C152" s="132" t="s">
        <v>254</v>
      </c>
      <c r="D152" s="476" t="s">
        <v>408</v>
      </c>
      <c r="E152" s="8"/>
      <c r="F152" s="986" t="s">
        <v>1175</v>
      </c>
      <c r="G152" s="987"/>
      <c r="H152" s="987"/>
      <c r="I152" s="987"/>
      <c r="J152" s="987"/>
      <c r="K152" s="987"/>
      <c r="L152" s="987"/>
      <c r="M152" s="987"/>
      <c r="N152" s="987"/>
      <c r="O152" s="987"/>
      <c r="P152" s="987"/>
      <c r="Q152" s="987"/>
      <c r="R152" s="317"/>
      <c r="S152" s="317"/>
      <c r="T152" s="9"/>
      <c r="U152" s="10"/>
      <c r="V152" s="10"/>
      <c r="W152" s="454"/>
    </row>
    <row r="153" spans="2:23" ht="14.1" customHeight="1">
      <c r="B153" s="451"/>
      <c r="C153" s="10"/>
      <c r="D153" s="10"/>
      <c r="E153" s="8"/>
      <c r="F153" s="398"/>
      <c r="G153" s="399"/>
      <c r="H153" s="399"/>
      <c r="I153" s="399"/>
      <c r="J153" s="399"/>
      <c r="K153" s="399"/>
      <c r="L153" s="399"/>
      <c r="M153" s="399"/>
      <c r="N153" s="399"/>
      <c r="O153" s="399"/>
      <c r="P153" s="399"/>
      <c r="Q153" s="399"/>
      <c r="R153" s="158"/>
      <c r="S153" s="156"/>
      <c r="T153" s="9"/>
      <c r="U153" s="10"/>
      <c r="V153" s="10"/>
      <c r="W153" s="454"/>
    </row>
    <row r="154" spans="2:23">
      <c r="B154" s="451"/>
      <c r="C154" s="1060" t="s">
        <v>27</v>
      </c>
      <c r="D154" s="1071"/>
      <c r="E154" s="1071"/>
      <c r="F154" s="1071"/>
      <c r="G154" s="1071"/>
      <c r="H154" s="1061"/>
      <c r="I154" s="1060" t="s">
        <v>30</v>
      </c>
      <c r="J154" s="1061"/>
      <c r="K154" s="1060" t="s">
        <v>20</v>
      </c>
      <c r="L154" s="1061"/>
      <c r="M154" s="1060" t="s">
        <v>152</v>
      </c>
      <c r="N154" s="1061"/>
      <c r="O154" s="1060" t="s">
        <v>47</v>
      </c>
      <c r="P154" s="1061"/>
      <c r="Q154" s="1060" t="s">
        <v>48</v>
      </c>
      <c r="R154" s="1061"/>
      <c r="S154" s="1060" t="s">
        <v>33</v>
      </c>
      <c r="T154" s="1061"/>
      <c r="U154" s="1060" t="s">
        <v>46</v>
      </c>
      <c r="V154" s="1061"/>
      <c r="W154" s="454"/>
    </row>
    <row r="155" spans="2:23">
      <c r="B155" s="451"/>
      <c r="C155" s="1062"/>
      <c r="D155" s="1072"/>
      <c r="E155" s="1072"/>
      <c r="F155" s="1072"/>
      <c r="G155" s="1072"/>
      <c r="H155" s="1063"/>
      <c r="I155" s="1062"/>
      <c r="J155" s="1063"/>
      <c r="K155" s="1062"/>
      <c r="L155" s="1063"/>
      <c r="M155" s="1062"/>
      <c r="N155" s="1063"/>
      <c r="O155" s="1062"/>
      <c r="P155" s="1063"/>
      <c r="Q155" s="1062"/>
      <c r="R155" s="1063"/>
      <c r="S155" s="1062"/>
      <c r="T155" s="1063"/>
      <c r="U155" s="1062"/>
      <c r="V155" s="1063"/>
      <c r="W155" s="454"/>
    </row>
    <row r="156" spans="2:23">
      <c r="B156" s="451"/>
      <c r="C156" s="1064" t="s">
        <v>188</v>
      </c>
      <c r="D156" s="1065"/>
      <c r="E156" s="1065"/>
      <c r="F156" s="1065"/>
      <c r="G156" s="1065"/>
      <c r="H156" s="1065"/>
      <c r="I156" s="1099">
        <v>1</v>
      </c>
      <c r="J156" s="1100"/>
      <c r="K156" s="1103">
        <v>6</v>
      </c>
      <c r="L156" s="1095" t="s">
        <v>0</v>
      </c>
      <c r="M156" s="1103">
        <v>6</v>
      </c>
      <c r="N156" s="1095" t="s">
        <v>0</v>
      </c>
      <c r="O156" s="1109">
        <v>0.15</v>
      </c>
      <c r="P156" s="1095" t="s">
        <v>0</v>
      </c>
      <c r="Q156" s="1103">
        <f>I156*K156*M156</f>
        <v>36</v>
      </c>
      <c r="R156" s="1105" t="s">
        <v>17</v>
      </c>
      <c r="S156" s="1107">
        <f>I156*K156*M156*O156</f>
        <v>5.3999999999999995</v>
      </c>
      <c r="T156" s="1095" t="s">
        <v>18</v>
      </c>
      <c r="U156" s="1064" t="s">
        <v>28</v>
      </c>
      <c r="V156" s="1097"/>
      <c r="W156" s="454"/>
    </row>
    <row r="157" spans="2:23">
      <c r="B157" s="451"/>
      <c r="C157" s="1066"/>
      <c r="D157" s="1067"/>
      <c r="E157" s="1067"/>
      <c r="F157" s="1067"/>
      <c r="G157" s="1067"/>
      <c r="H157" s="1067"/>
      <c r="I157" s="1101"/>
      <c r="J157" s="1102"/>
      <c r="K157" s="1104"/>
      <c r="L157" s="1096"/>
      <c r="M157" s="1104"/>
      <c r="N157" s="1096"/>
      <c r="O157" s="1110"/>
      <c r="P157" s="1096"/>
      <c r="Q157" s="1104"/>
      <c r="R157" s="1106"/>
      <c r="S157" s="1108"/>
      <c r="T157" s="1096"/>
      <c r="U157" s="1066"/>
      <c r="V157" s="1098"/>
      <c r="W157" s="454"/>
    </row>
    <row r="158" spans="2:23" ht="14.1" customHeight="1">
      <c r="B158" s="451"/>
      <c r="C158" s="10"/>
      <c r="D158" s="10"/>
      <c r="E158" s="8"/>
      <c r="F158" s="398"/>
      <c r="G158" s="399"/>
      <c r="H158" s="399"/>
      <c r="I158" s="399"/>
      <c r="J158" s="399"/>
      <c r="K158" s="399"/>
      <c r="L158" s="399"/>
      <c r="M158" s="399"/>
      <c r="N158" s="399"/>
      <c r="O158" s="399"/>
      <c r="P158" s="399"/>
      <c r="Q158" s="399"/>
      <c r="R158" s="158"/>
      <c r="S158" s="156"/>
      <c r="T158" s="9"/>
      <c r="U158" s="10"/>
      <c r="V158" s="10"/>
      <c r="W158" s="454"/>
    </row>
    <row r="159" spans="2:23" ht="14.1" customHeight="1">
      <c r="B159" s="451"/>
      <c r="C159" s="132"/>
      <c r="D159" s="396"/>
      <c r="E159" s="397"/>
      <c r="F159" s="397"/>
      <c r="G159" s="397"/>
      <c r="H159" s="397"/>
      <c r="I159" s="397"/>
      <c r="J159" s="397"/>
      <c r="K159" s="397"/>
      <c r="L159" s="397"/>
      <c r="M159" s="397"/>
      <c r="N159" s="397"/>
      <c r="O159" s="397"/>
      <c r="P159" s="399"/>
      <c r="Q159" s="399"/>
      <c r="R159" s="158"/>
      <c r="S159" s="156"/>
      <c r="T159" s="9"/>
      <c r="U159" s="10"/>
      <c r="V159" s="10"/>
      <c r="W159" s="454"/>
    </row>
    <row r="160" spans="2:23" ht="14.1" customHeight="1">
      <c r="B160" s="451"/>
      <c r="C160" s="10"/>
      <c r="D160" s="10" t="s">
        <v>407</v>
      </c>
      <c r="E160" s="10" t="s">
        <v>1176</v>
      </c>
      <c r="F160" s="398"/>
      <c r="G160" s="399"/>
      <c r="H160" s="399"/>
      <c r="I160" s="399"/>
      <c r="J160" s="399"/>
      <c r="K160" s="399"/>
      <c r="L160" s="399"/>
      <c r="M160" s="399"/>
      <c r="N160" s="399"/>
      <c r="O160" s="399"/>
      <c r="P160" s="399"/>
      <c r="Q160" s="399"/>
      <c r="R160" s="158"/>
      <c r="S160" s="156"/>
      <c r="T160" s="9"/>
      <c r="U160" s="10"/>
      <c r="V160" s="10"/>
      <c r="W160" s="454"/>
    </row>
    <row r="161" spans="2:23" ht="6.75" customHeight="1">
      <c r="B161" s="451"/>
      <c r="C161" s="10"/>
      <c r="D161" s="10"/>
      <c r="E161" s="8"/>
      <c r="F161" s="398"/>
      <c r="G161" s="399"/>
      <c r="H161" s="399"/>
      <c r="I161" s="399"/>
      <c r="J161" s="399"/>
      <c r="K161" s="399"/>
      <c r="L161" s="399"/>
      <c r="M161" s="399"/>
      <c r="N161" s="399"/>
      <c r="O161" s="399"/>
      <c r="P161" s="399"/>
      <c r="Q161" s="399"/>
      <c r="R161" s="158"/>
      <c r="S161" s="156"/>
      <c r="T161" s="9"/>
      <c r="U161" s="10"/>
      <c r="V161" s="10"/>
      <c r="W161" s="454"/>
    </row>
    <row r="162" spans="2:23" ht="14.1" customHeight="1">
      <c r="B162" s="451"/>
      <c r="C162" s="10"/>
      <c r="D162" s="10"/>
      <c r="E162" s="986" t="s">
        <v>187</v>
      </c>
      <c r="F162" s="987"/>
      <c r="G162" s="987"/>
      <c r="H162" s="987"/>
      <c r="I162" s="987"/>
      <c r="J162" s="987"/>
      <c r="K162" s="987"/>
      <c r="L162" s="987"/>
      <c r="M162" s="987"/>
      <c r="N162" s="987"/>
      <c r="O162" s="987"/>
      <c r="P162" s="987"/>
      <c r="Q162" s="1004"/>
      <c r="R162" s="157">
        <f>Q156</f>
        <v>36</v>
      </c>
      <c r="S162" s="156" t="s">
        <v>17</v>
      </c>
      <c r="T162" s="9"/>
      <c r="U162" s="10"/>
      <c r="V162" s="10"/>
      <c r="W162" s="454"/>
    </row>
    <row r="163" spans="2:23" ht="14.1" customHeight="1">
      <c r="B163" s="451"/>
      <c r="C163" s="10"/>
      <c r="D163" s="10"/>
      <c r="E163" s="8"/>
      <c r="F163" s="986"/>
      <c r="G163" s="987"/>
      <c r="H163" s="987"/>
      <c r="I163" s="987"/>
      <c r="J163" s="987"/>
      <c r="K163" s="987"/>
      <c r="L163" s="987"/>
      <c r="M163" s="987"/>
      <c r="N163" s="987"/>
      <c r="O163" s="987"/>
      <c r="P163" s="987"/>
      <c r="Q163" s="987"/>
      <c r="R163" s="317"/>
      <c r="S163" s="317"/>
      <c r="T163" s="9"/>
      <c r="U163" s="10"/>
      <c r="V163" s="10"/>
      <c r="W163" s="454"/>
    </row>
    <row r="164" spans="2:23" ht="14.1" customHeight="1">
      <c r="B164" s="451"/>
      <c r="C164" s="10"/>
      <c r="D164" s="10"/>
      <c r="E164" s="8"/>
      <c r="F164" s="398"/>
      <c r="G164" s="399"/>
      <c r="H164" s="399"/>
      <c r="I164" s="399"/>
      <c r="J164" s="399"/>
      <c r="K164" s="399"/>
      <c r="L164" s="399"/>
      <c r="M164" s="399"/>
      <c r="N164" s="399"/>
      <c r="O164" s="399"/>
      <c r="P164" s="399"/>
      <c r="Q164" s="399"/>
      <c r="R164" s="158"/>
      <c r="S164" s="156"/>
      <c r="T164" s="9"/>
      <c r="U164" s="10"/>
      <c r="V164" s="10"/>
      <c r="W164" s="454"/>
    </row>
    <row r="165" spans="2:23" ht="14.1" customHeight="1">
      <c r="B165" s="451"/>
      <c r="C165" s="132" t="s">
        <v>256</v>
      </c>
      <c r="D165" s="396" t="s">
        <v>358</v>
      </c>
      <c r="E165" s="8"/>
      <c r="F165" s="398"/>
      <c r="G165" s="399"/>
      <c r="H165" s="399"/>
      <c r="I165" s="399"/>
      <c r="J165" s="399"/>
      <c r="K165" s="399"/>
      <c r="L165" s="399"/>
      <c r="M165" s="399"/>
      <c r="N165" s="399"/>
      <c r="O165" s="399"/>
      <c r="P165" s="399"/>
      <c r="Q165" s="399"/>
      <c r="R165" s="158"/>
      <c r="S165" s="156"/>
      <c r="T165" s="9"/>
      <c r="U165" s="10"/>
      <c r="V165" s="10"/>
      <c r="W165" s="454"/>
    </row>
    <row r="166" spans="2:23" ht="22.5" customHeight="1">
      <c r="B166" s="451"/>
      <c r="C166" s="10"/>
      <c r="D166" s="10" t="s">
        <v>415</v>
      </c>
      <c r="E166" s="10" t="s">
        <v>1178</v>
      </c>
      <c r="F166" s="398"/>
      <c r="G166" s="399"/>
      <c r="H166" s="399"/>
      <c r="I166" s="399"/>
      <c r="J166" s="399"/>
      <c r="K166" s="399"/>
      <c r="L166" s="399"/>
      <c r="M166" s="399"/>
      <c r="N166" s="399"/>
      <c r="O166" s="399"/>
      <c r="P166" s="399"/>
      <c r="Q166" s="399"/>
      <c r="R166" s="157">
        <f>4*2</f>
        <v>8</v>
      </c>
      <c r="S166" s="156" t="s">
        <v>352</v>
      </c>
      <c r="T166" s="9"/>
      <c r="U166" s="183"/>
      <c r="V166" s="529"/>
      <c r="W166" s="528"/>
    </row>
    <row r="167" spans="2:23" ht="14.1" customHeight="1">
      <c r="B167" s="451"/>
      <c r="C167" s="10"/>
      <c r="D167" s="10" t="s">
        <v>419</v>
      </c>
      <c r="E167" s="8" t="s">
        <v>1177</v>
      </c>
      <c r="F167" s="398"/>
      <c r="G167" s="399"/>
      <c r="H167" s="399"/>
      <c r="I167" s="399"/>
      <c r="J167" s="399"/>
      <c r="K167" s="399"/>
      <c r="L167" s="399"/>
      <c r="M167" s="399"/>
      <c r="N167" s="399"/>
      <c r="O167" s="399"/>
      <c r="P167" s="399"/>
      <c r="Q167" s="399"/>
      <c r="R167" s="157">
        <f>8*2</f>
        <v>16</v>
      </c>
      <c r="S167" s="156" t="s">
        <v>352</v>
      </c>
      <c r="T167" s="9"/>
      <c r="U167" s="10"/>
      <c r="V167" s="10"/>
      <c r="W167" s="454"/>
    </row>
    <row r="168" spans="2:23" ht="14.1" customHeight="1">
      <c r="B168" s="451"/>
      <c r="C168" s="10"/>
      <c r="D168" s="10" t="s">
        <v>420</v>
      </c>
      <c r="E168" s="8" t="s">
        <v>1161</v>
      </c>
      <c r="F168" s="398"/>
      <c r="G168" s="399"/>
      <c r="H168" s="399"/>
      <c r="I168" s="399"/>
      <c r="J168" s="399"/>
      <c r="K168" s="399"/>
      <c r="L168" s="399"/>
      <c r="M168" s="399"/>
      <c r="N168" s="399"/>
      <c r="O168" s="399"/>
      <c r="P168" s="399"/>
      <c r="Q168" s="399"/>
      <c r="R168" s="157">
        <f>8*2*1</f>
        <v>16</v>
      </c>
      <c r="S168" s="156" t="s">
        <v>352</v>
      </c>
      <c r="T168" s="9"/>
      <c r="U168" s="10"/>
      <c r="V168" s="10"/>
      <c r="W168" s="454"/>
    </row>
    <row r="169" spans="2:23" ht="14.1" customHeight="1">
      <c r="B169" s="451"/>
      <c r="C169" s="10"/>
      <c r="D169" s="10" t="s">
        <v>421</v>
      </c>
      <c r="E169" s="8" t="s">
        <v>1162</v>
      </c>
      <c r="F169" s="398"/>
      <c r="G169" s="399"/>
      <c r="H169" s="399"/>
      <c r="I169" s="399"/>
      <c r="J169" s="399"/>
      <c r="K169" s="399"/>
      <c r="L169" s="399"/>
      <c r="M169" s="399"/>
      <c r="N169" s="399"/>
      <c r="O169" s="399"/>
      <c r="P169" s="399"/>
      <c r="Q169" s="399"/>
      <c r="R169" s="157">
        <f>8*2*1</f>
        <v>16</v>
      </c>
      <c r="S169" s="156" t="s">
        <v>352</v>
      </c>
      <c r="T169" s="9"/>
      <c r="U169" s="10"/>
      <c r="V169" s="10"/>
      <c r="W169" s="454"/>
    </row>
    <row r="170" spans="2:23" ht="14.1" customHeight="1">
      <c r="B170" s="451"/>
      <c r="C170" s="10"/>
      <c r="D170" s="10" t="s">
        <v>422</v>
      </c>
      <c r="E170" s="8" t="s">
        <v>1179</v>
      </c>
      <c r="F170" s="398"/>
      <c r="G170" s="399"/>
      <c r="H170" s="399"/>
      <c r="I170" s="399"/>
      <c r="J170" s="399"/>
      <c r="K170" s="399"/>
      <c r="L170" s="399"/>
      <c r="M170" s="399"/>
      <c r="N170" s="399"/>
      <c r="O170" s="399"/>
      <c r="P170" s="399"/>
      <c r="Q170" s="399"/>
      <c r="R170" s="157">
        <f>8*2*1</f>
        <v>16</v>
      </c>
      <c r="S170" s="156" t="s">
        <v>352</v>
      </c>
      <c r="T170" s="9"/>
      <c r="U170" s="10"/>
      <c r="V170" s="10"/>
      <c r="W170" s="454"/>
    </row>
    <row r="171" spans="2:23" ht="14.1" customHeight="1">
      <c r="B171" s="451"/>
      <c r="C171" s="10"/>
      <c r="D171" s="10"/>
      <c r="E171" s="8"/>
      <c r="F171" s="398"/>
      <c r="G171" s="399"/>
      <c r="H171" s="399"/>
      <c r="I171" s="399"/>
      <c r="J171" s="399"/>
      <c r="K171" s="399"/>
      <c r="L171" s="399"/>
      <c r="M171" s="399"/>
      <c r="N171" s="399"/>
      <c r="O171" s="399"/>
      <c r="P171" s="399"/>
      <c r="Q171" s="399"/>
      <c r="R171" s="158"/>
      <c r="S171" s="156"/>
      <c r="T171" s="9"/>
      <c r="U171" s="10"/>
      <c r="V171" s="10"/>
      <c r="W171" s="454"/>
    </row>
    <row r="172" spans="2:23" ht="14.1" customHeight="1">
      <c r="B172" s="451"/>
      <c r="C172" s="132" t="s">
        <v>257</v>
      </c>
      <c r="D172" s="396" t="s">
        <v>1202</v>
      </c>
      <c r="E172" s="8"/>
      <c r="F172" s="398"/>
      <c r="G172" s="399"/>
      <c r="H172" s="399"/>
      <c r="I172" s="399"/>
      <c r="J172" s="399"/>
      <c r="K172" s="399"/>
      <c r="L172" s="399"/>
      <c r="M172" s="399"/>
      <c r="N172" s="399"/>
      <c r="O172" s="399"/>
      <c r="P172" s="399"/>
      <c r="Q172" s="399"/>
      <c r="R172" s="158"/>
      <c r="S172" s="156"/>
      <c r="T172" s="9"/>
      <c r="U172" s="10"/>
      <c r="V172" s="10"/>
      <c r="W172" s="454"/>
    </row>
    <row r="173" spans="2:23" ht="14.1" customHeight="1">
      <c r="B173" s="451"/>
      <c r="C173" s="10"/>
      <c r="D173" s="10" t="s">
        <v>416</v>
      </c>
      <c r="E173" s="10" t="s">
        <v>1199</v>
      </c>
      <c r="F173" s="398"/>
      <c r="G173" s="399"/>
      <c r="H173" s="399"/>
      <c r="I173" s="399"/>
      <c r="J173" s="399"/>
      <c r="K173" s="399"/>
      <c r="L173" s="399"/>
      <c r="M173" s="399"/>
      <c r="N173" s="399"/>
      <c r="O173" s="399"/>
      <c r="P173" s="399"/>
      <c r="Q173" s="399"/>
      <c r="R173" s="157">
        <f>4*1</f>
        <v>4</v>
      </c>
      <c r="S173" s="156" t="s">
        <v>352</v>
      </c>
      <c r="T173" s="9"/>
      <c r="U173" s="10"/>
      <c r="V173" s="10"/>
      <c r="W173" s="454"/>
    </row>
    <row r="174" spans="2:23" ht="14.1" customHeight="1">
      <c r="B174" s="451"/>
      <c r="C174" s="10"/>
      <c r="D174" s="10" t="s">
        <v>417</v>
      </c>
      <c r="E174" s="8" t="s">
        <v>1200</v>
      </c>
      <c r="F174" s="398"/>
      <c r="G174" s="399"/>
      <c r="H174" s="399"/>
      <c r="I174" s="399"/>
      <c r="J174" s="399"/>
      <c r="K174" s="399"/>
      <c r="L174" s="399"/>
      <c r="M174" s="399"/>
      <c r="N174" s="399"/>
      <c r="O174" s="399"/>
      <c r="P174" s="399"/>
      <c r="Q174" s="399"/>
      <c r="R174" s="157">
        <f>8*1*1</f>
        <v>8</v>
      </c>
      <c r="S174" s="156" t="s">
        <v>352</v>
      </c>
      <c r="T174" s="9"/>
      <c r="U174" s="10"/>
      <c r="V174" s="10"/>
      <c r="W174" s="454"/>
    </row>
    <row r="175" spans="2:23" ht="14.1" customHeight="1">
      <c r="B175" s="451"/>
      <c r="C175" s="10"/>
      <c r="D175" s="10" t="s">
        <v>418</v>
      </c>
      <c r="E175" s="8" t="s">
        <v>1201</v>
      </c>
      <c r="F175" s="398"/>
      <c r="G175" s="399"/>
      <c r="H175" s="399"/>
      <c r="I175" s="399"/>
      <c r="J175" s="399"/>
      <c r="K175" s="399"/>
      <c r="L175" s="399"/>
      <c r="M175" s="399"/>
      <c r="N175" s="399"/>
      <c r="O175" s="399"/>
      <c r="P175" s="399"/>
      <c r="Q175" s="399"/>
      <c r="R175" s="157">
        <f>8*1*1</f>
        <v>8</v>
      </c>
      <c r="S175" s="156" t="s">
        <v>352</v>
      </c>
      <c r="T175" s="9"/>
      <c r="U175" s="10"/>
      <c r="V175" s="10"/>
      <c r="W175" s="454"/>
    </row>
    <row r="176" spans="2:23" ht="14.1" customHeight="1">
      <c r="B176" s="451"/>
      <c r="C176" s="10"/>
      <c r="D176" s="10"/>
      <c r="E176" s="8"/>
      <c r="F176" s="398"/>
      <c r="G176" s="399"/>
      <c r="H176" s="399"/>
      <c r="I176" s="399"/>
      <c r="J176" s="399"/>
      <c r="K176" s="399"/>
      <c r="L176" s="399"/>
      <c r="M176" s="399"/>
      <c r="N176" s="399"/>
      <c r="O176" s="399"/>
      <c r="P176" s="399"/>
      <c r="Q176" s="399"/>
      <c r="R176" s="158"/>
      <c r="S176" s="156"/>
      <c r="T176" s="9"/>
      <c r="U176" s="10"/>
      <c r="V176" s="10"/>
      <c r="W176" s="454"/>
    </row>
    <row r="177" spans="2:26" ht="14.1" customHeight="1">
      <c r="B177" s="451"/>
      <c r="C177" s="651">
        <v>6</v>
      </c>
      <c r="D177" s="732" t="s">
        <v>1465</v>
      </c>
      <c r="E177" s="8"/>
      <c r="F177" s="398"/>
      <c r="G177" s="399"/>
      <c r="H177" s="399"/>
      <c r="I177" s="399"/>
      <c r="J177" s="399"/>
      <c r="K177" s="399"/>
      <c r="L177" s="399"/>
      <c r="M177" s="399"/>
      <c r="N177" s="399"/>
      <c r="O177" s="399"/>
      <c r="P177" s="399"/>
      <c r="Q177" s="399"/>
      <c r="R177" s="158"/>
      <c r="S177" s="156"/>
      <c r="T177" s="9"/>
      <c r="U177" s="10"/>
      <c r="V177" s="10"/>
      <c r="W177" s="454"/>
    </row>
    <row r="178" spans="2:26" ht="14.1" customHeight="1">
      <c r="B178" s="433"/>
      <c r="C178" s="656"/>
      <c r="D178" s="657"/>
      <c r="E178" s="179"/>
      <c r="F178" s="399"/>
      <c r="G178" s="399"/>
      <c r="H178" s="399"/>
      <c r="I178" s="399"/>
      <c r="J178" s="399"/>
      <c r="K178" s="399"/>
      <c r="L178" s="399"/>
      <c r="M178" s="399"/>
      <c r="N178" s="399"/>
      <c r="O178" s="399"/>
      <c r="P178" s="399"/>
      <c r="Q178" s="399"/>
      <c r="R178" s="158"/>
      <c r="S178" s="503"/>
      <c r="T178" s="179"/>
      <c r="U178" s="179"/>
      <c r="V178" s="9"/>
    </row>
    <row r="179" spans="2:26" ht="14.1" customHeight="1">
      <c r="B179" s="433"/>
      <c r="C179" s="476" t="s">
        <v>131</v>
      </c>
      <c r="D179" s="477"/>
      <c r="E179" s="477"/>
      <c r="F179" s="477"/>
      <c r="G179" s="477"/>
      <c r="H179" s="477"/>
      <c r="I179" s="477"/>
      <c r="J179" s="477"/>
      <c r="K179" s="477"/>
      <c r="L179" s="477"/>
      <c r="M179" s="477"/>
      <c r="N179" s="477"/>
      <c r="O179" s="477"/>
      <c r="P179" s="477"/>
      <c r="Q179" s="477"/>
      <c r="R179" s="477"/>
      <c r="S179" s="477"/>
      <c r="T179" s="477"/>
      <c r="U179" s="477"/>
      <c r="V179" s="504"/>
    </row>
    <row r="180" spans="2:26" ht="14.1" customHeight="1">
      <c r="B180" s="431"/>
      <c r="C180" s="1047" t="s">
        <v>5</v>
      </c>
      <c r="D180" s="1048"/>
      <c r="E180" s="1048"/>
      <c r="F180" s="1048"/>
      <c r="G180" s="1048"/>
      <c r="H180" s="1048"/>
      <c r="I180" s="1048"/>
      <c r="J180" s="1048"/>
      <c r="K180" s="1048"/>
      <c r="L180" s="1048"/>
      <c r="M180" s="1048"/>
      <c r="N180" s="1048"/>
      <c r="O180" s="1048"/>
      <c r="P180" s="1048"/>
      <c r="Q180" s="1048"/>
      <c r="R180" s="1048"/>
      <c r="S180" s="1048"/>
      <c r="T180" s="1048"/>
      <c r="U180" s="1048"/>
      <c r="V180" s="1049"/>
    </row>
    <row r="181" spans="2:26" ht="17.100000000000001" customHeight="1">
      <c r="B181" s="460"/>
      <c r="C181" s="1162" t="s">
        <v>27</v>
      </c>
      <c r="D181" s="1163" t="s">
        <v>40</v>
      </c>
      <c r="E181" s="1164" t="s">
        <v>39</v>
      </c>
      <c r="F181" s="1166" t="s">
        <v>6</v>
      </c>
      <c r="G181" s="1167"/>
      <c r="H181" s="1168"/>
      <c r="I181" s="1053" t="s">
        <v>45</v>
      </c>
      <c r="J181" s="1055"/>
      <c r="K181" s="1053" t="s">
        <v>41</v>
      </c>
      <c r="L181" s="1055"/>
      <c r="M181" s="1053" t="s">
        <v>42</v>
      </c>
      <c r="N181" s="1055"/>
      <c r="O181" s="1053" t="s">
        <v>43</v>
      </c>
      <c r="P181" s="1055"/>
      <c r="Q181" s="1053" t="s">
        <v>44</v>
      </c>
      <c r="R181" s="1055"/>
      <c r="S181" s="1053" t="s">
        <v>25</v>
      </c>
      <c r="T181" s="1055"/>
      <c r="U181" s="1053" t="s">
        <v>1397</v>
      </c>
      <c r="V181" s="1055"/>
      <c r="W181" s="461"/>
      <c r="Y181" s="472" t="s">
        <v>1187</v>
      </c>
    </row>
    <row r="182" spans="2:26" ht="17.100000000000001" customHeight="1">
      <c r="B182" s="460"/>
      <c r="C182" s="1162"/>
      <c r="D182" s="1163"/>
      <c r="E182" s="1165"/>
      <c r="F182" s="1169"/>
      <c r="G182" s="1170"/>
      <c r="H182" s="1171"/>
      <c r="I182" s="1056"/>
      <c r="J182" s="1058"/>
      <c r="K182" s="1056"/>
      <c r="L182" s="1058"/>
      <c r="M182" s="1056"/>
      <c r="N182" s="1058"/>
      <c r="O182" s="1056"/>
      <c r="P182" s="1058"/>
      <c r="Q182" s="1056"/>
      <c r="R182" s="1058"/>
      <c r="S182" s="1056"/>
      <c r="T182" s="1058"/>
      <c r="U182" s="1056"/>
      <c r="V182" s="1058"/>
      <c r="W182" s="461"/>
      <c r="Y182" s="535">
        <v>1.5</v>
      </c>
      <c r="Z182" s="534" t="s">
        <v>0</v>
      </c>
    </row>
    <row r="183" spans="2:26" ht="14.1" customHeight="1">
      <c r="B183" s="462"/>
      <c r="C183" s="1158" t="s">
        <v>16</v>
      </c>
      <c r="D183" s="404">
        <v>250</v>
      </c>
      <c r="E183" s="142">
        <v>274</v>
      </c>
      <c r="F183" s="1160">
        <v>0</v>
      </c>
      <c r="G183" s="1161"/>
      <c r="H183" s="143" t="s">
        <v>0</v>
      </c>
      <c r="I183" s="144">
        <v>1.35</v>
      </c>
      <c r="J183" s="145" t="s">
        <v>0</v>
      </c>
      <c r="K183" s="146">
        <f t="shared" ref="K183:K188" si="1">IF(D183&lt;=150,0.6,IF(D183&lt;=350,0.8,"erro"))</f>
        <v>0.8</v>
      </c>
      <c r="L183" s="147" t="s">
        <v>0</v>
      </c>
      <c r="M183" s="146">
        <f t="shared" ref="M183:M188" si="2">K183+0.2</f>
        <v>1</v>
      </c>
      <c r="N183" s="147" t="s">
        <v>0</v>
      </c>
      <c r="O183" s="148">
        <f t="shared" ref="O183:O188" si="3">F183*M183</f>
        <v>0</v>
      </c>
      <c r="P183" s="147" t="s">
        <v>17</v>
      </c>
      <c r="Q183" s="149">
        <f t="shared" ref="Q183:Q188" si="4">F183*K183</f>
        <v>0</v>
      </c>
      <c r="R183" s="150" t="s">
        <v>17</v>
      </c>
      <c r="S183" s="499">
        <f>(F183*K183*(I183-0.15))*Y182</f>
        <v>0</v>
      </c>
      <c r="T183" s="145" t="s">
        <v>18</v>
      </c>
      <c r="U183" s="648">
        <f>PI()*((((E183/1000)/2))^2)*F183</f>
        <v>0</v>
      </c>
      <c r="V183" s="147" t="s">
        <v>18</v>
      </c>
      <c r="W183" s="461"/>
    </row>
    <row r="184" spans="2:26" ht="14.1" customHeight="1">
      <c r="C184" s="1159"/>
      <c r="D184" s="404">
        <v>200</v>
      </c>
      <c r="E184" s="142">
        <v>222</v>
      </c>
      <c r="F184" s="1160">
        <v>0</v>
      </c>
      <c r="G184" s="1161"/>
      <c r="H184" s="143" t="s">
        <v>0</v>
      </c>
      <c r="I184" s="144">
        <v>1.2</v>
      </c>
      <c r="J184" s="145" t="s">
        <v>0</v>
      </c>
      <c r="K184" s="146">
        <f t="shared" si="1"/>
        <v>0.8</v>
      </c>
      <c r="L184" s="147" t="s">
        <v>0</v>
      </c>
      <c r="M184" s="146">
        <f t="shared" si="2"/>
        <v>1</v>
      </c>
      <c r="N184" s="147" t="s">
        <v>0</v>
      </c>
      <c r="O184" s="148">
        <f t="shared" si="3"/>
        <v>0</v>
      </c>
      <c r="P184" s="147" t="s">
        <v>17</v>
      </c>
      <c r="Q184" s="149">
        <f t="shared" si="4"/>
        <v>0</v>
      </c>
      <c r="R184" s="151" t="s">
        <v>17</v>
      </c>
      <c r="S184" s="499">
        <f>(F184*K184*(I184-0.15))*Y182</f>
        <v>0</v>
      </c>
      <c r="T184" s="145" t="s">
        <v>18</v>
      </c>
      <c r="U184" s="648">
        <f t="shared" ref="U184:U187" si="5">PI()*((((E184/1000)/2))^2)*F184</f>
        <v>0</v>
      </c>
      <c r="V184" s="147" t="s">
        <v>18</v>
      </c>
      <c r="W184" s="461"/>
      <c r="Y184" s="1178" t="s">
        <v>1188</v>
      </c>
    </row>
    <row r="185" spans="2:26" ht="14.1" customHeight="1">
      <c r="C185" s="1159"/>
      <c r="D185" s="404">
        <v>150</v>
      </c>
      <c r="E185" s="142">
        <v>170</v>
      </c>
      <c r="F185" s="1160">
        <v>155</v>
      </c>
      <c r="G185" s="1161"/>
      <c r="H185" s="143" t="s">
        <v>0</v>
      </c>
      <c r="I185" s="144">
        <v>1.2</v>
      </c>
      <c r="J185" s="145" t="s">
        <v>0</v>
      </c>
      <c r="K185" s="146">
        <f t="shared" si="1"/>
        <v>0.6</v>
      </c>
      <c r="L185" s="147" t="s">
        <v>0</v>
      </c>
      <c r="M185" s="146">
        <f t="shared" si="2"/>
        <v>0.8</v>
      </c>
      <c r="N185" s="147" t="s">
        <v>0</v>
      </c>
      <c r="O185" s="148">
        <f t="shared" si="3"/>
        <v>124</v>
      </c>
      <c r="P185" s="147" t="s">
        <v>17</v>
      </c>
      <c r="Q185" s="152">
        <f t="shared" si="4"/>
        <v>93</v>
      </c>
      <c r="R185" s="151" t="s">
        <v>17</v>
      </c>
      <c r="S185" s="499">
        <f>(F185*K185*(I185-0.15))*Y182</f>
        <v>146.47500000000002</v>
      </c>
      <c r="T185" s="145" t="s">
        <v>18</v>
      </c>
      <c r="U185" s="648">
        <f t="shared" si="5"/>
        <v>3.5181910729388703</v>
      </c>
      <c r="V185" s="147" t="s">
        <v>18</v>
      </c>
      <c r="W185" s="461"/>
      <c r="Y185" s="1178"/>
    </row>
    <row r="186" spans="2:26" ht="14.1" customHeight="1">
      <c r="C186" s="1159"/>
      <c r="D186" s="404">
        <v>100</v>
      </c>
      <c r="E186" s="142">
        <v>110</v>
      </c>
      <c r="F186" s="1160">
        <v>306</v>
      </c>
      <c r="G186" s="1161"/>
      <c r="H186" s="143" t="s">
        <v>0</v>
      </c>
      <c r="I186" s="144">
        <v>1.2</v>
      </c>
      <c r="J186" s="145" t="s">
        <v>0</v>
      </c>
      <c r="K186" s="146">
        <f t="shared" si="1"/>
        <v>0.6</v>
      </c>
      <c r="L186" s="147" t="s">
        <v>0</v>
      </c>
      <c r="M186" s="146">
        <f t="shared" si="2"/>
        <v>0.8</v>
      </c>
      <c r="N186" s="147" t="s">
        <v>0</v>
      </c>
      <c r="O186" s="148">
        <f t="shared" si="3"/>
        <v>244.8</v>
      </c>
      <c r="P186" s="147" t="s">
        <v>17</v>
      </c>
      <c r="Q186" s="152">
        <f t="shared" si="4"/>
        <v>183.6</v>
      </c>
      <c r="R186" s="151" t="s">
        <v>17</v>
      </c>
      <c r="S186" s="499">
        <f>(F186*K186*(I186-0.15))*Y182</f>
        <v>289.17</v>
      </c>
      <c r="T186" s="145" t="s">
        <v>18</v>
      </c>
      <c r="U186" s="648">
        <f t="shared" si="5"/>
        <v>2.9080152397953922</v>
      </c>
      <c r="V186" s="147" t="s">
        <v>18</v>
      </c>
      <c r="W186" s="461"/>
      <c r="Y186" s="1178"/>
    </row>
    <row r="187" spans="2:26" ht="14.1" customHeight="1">
      <c r="C187" s="1159"/>
      <c r="D187" s="404">
        <v>75</v>
      </c>
      <c r="E187" s="142">
        <v>80</v>
      </c>
      <c r="F187" s="1160">
        <v>115</v>
      </c>
      <c r="G187" s="1161"/>
      <c r="H187" s="143" t="s">
        <v>0</v>
      </c>
      <c r="I187" s="144">
        <v>1.2</v>
      </c>
      <c r="J187" s="145" t="s">
        <v>0</v>
      </c>
      <c r="K187" s="146">
        <f t="shared" si="1"/>
        <v>0.6</v>
      </c>
      <c r="L187" s="147" t="s">
        <v>0</v>
      </c>
      <c r="M187" s="146">
        <f t="shared" si="2"/>
        <v>0.8</v>
      </c>
      <c r="N187" s="147" t="s">
        <v>0</v>
      </c>
      <c r="O187" s="148">
        <f t="shared" si="3"/>
        <v>92</v>
      </c>
      <c r="P187" s="147" t="s">
        <v>17</v>
      </c>
      <c r="Q187" s="152">
        <f t="shared" si="4"/>
        <v>69</v>
      </c>
      <c r="R187" s="151" t="s">
        <v>17</v>
      </c>
      <c r="S187" s="499">
        <f>(F187*K187*(I187-0.15))*Y182</f>
        <v>108.67500000000001</v>
      </c>
      <c r="T187" s="145" t="s">
        <v>18</v>
      </c>
      <c r="U187" s="648">
        <f t="shared" si="5"/>
        <v>0.57805304826052195</v>
      </c>
      <c r="V187" s="147" t="s">
        <v>18</v>
      </c>
      <c r="W187" s="461"/>
    </row>
    <row r="188" spans="2:26" ht="14.1" customHeight="1">
      <c r="B188" s="460"/>
      <c r="C188" s="1159"/>
      <c r="D188" s="404">
        <v>50</v>
      </c>
      <c r="E188" s="142">
        <v>60</v>
      </c>
      <c r="F188" s="1160">
        <v>6</v>
      </c>
      <c r="G188" s="1161"/>
      <c r="H188" s="143" t="s">
        <v>0</v>
      </c>
      <c r="I188" s="144">
        <v>1.2</v>
      </c>
      <c r="J188" s="145" t="s">
        <v>0</v>
      </c>
      <c r="K188" s="146">
        <f t="shared" si="1"/>
        <v>0.6</v>
      </c>
      <c r="L188" s="147" t="s">
        <v>0</v>
      </c>
      <c r="M188" s="146">
        <f t="shared" si="2"/>
        <v>0.8</v>
      </c>
      <c r="N188" s="147" t="s">
        <v>0</v>
      </c>
      <c r="O188" s="148">
        <f t="shared" si="3"/>
        <v>4.8000000000000007</v>
      </c>
      <c r="P188" s="147" t="s">
        <v>17</v>
      </c>
      <c r="Q188" s="152">
        <f t="shared" si="4"/>
        <v>3.5999999999999996</v>
      </c>
      <c r="R188" s="151" t="s">
        <v>17</v>
      </c>
      <c r="S188" s="499">
        <f>(F188*K188*(I188-0.15))*Y182</f>
        <v>5.67</v>
      </c>
      <c r="T188" s="145" t="s">
        <v>18</v>
      </c>
      <c r="U188" s="648">
        <f>PI()*((((E188/1000)/2))^2)*F188</f>
        <v>1.6964600329384884E-2</v>
      </c>
      <c r="V188" s="147" t="s">
        <v>18</v>
      </c>
      <c r="W188" s="461"/>
    </row>
    <row r="189" spans="2:26" ht="14.1" customHeight="1">
      <c r="B189" s="446"/>
      <c r="C189" s="1050"/>
      <c r="D189" s="1051"/>
      <c r="E189" s="1051"/>
      <c r="F189" s="1051"/>
      <c r="G189" s="1051"/>
      <c r="H189" s="1051"/>
      <c r="I189" s="1051"/>
      <c r="J189" s="1051"/>
      <c r="K189" s="1051"/>
      <c r="L189" s="1051"/>
      <c r="M189" s="1051"/>
      <c r="N189" s="1051"/>
      <c r="O189" s="1051"/>
      <c r="P189" s="1051"/>
      <c r="Q189" s="1051"/>
      <c r="R189" s="1051"/>
      <c r="S189" s="1051"/>
      <c r="T189" s="1051"/>
      <c r="U189" s="1051"/>
      <c r="V189" s="1052"/>
      <c r="W189" s="432"/>
    </row>
    <row r="190" spans="2:26" ht="17.100000000000001" customHeight="1">
      <c r="B190" s="460"/>
      <c r="C190" s="1053" t="s">
        <v>27</v>
      </c>
      <c r="D190" s="1054"/>
      <c r="E190" s="1054"/>
      <c r="F190" s="1054"/>
      <c r="G190" s="1054"/>
      <c r="H190" s="1055"/>
      <c r="I190" s="1053" t="s">
        <v>30</v>
      </c>
      <c r="J190" s="1055"/>
      <c r="K190" s="1053" t="s">
        <v>20</v>
      </c>
      <c r="L190" s="1055"/>
      <c r="M190" s="1053" t="s">
        <v>152</v>
      </c>
      <c r="N190" s="1055"/>
      <c r="O190" s="1053" t="s">
        <v>47</v>
      </c>
      <c r="P190" s="1055"/>
      <c r="Q190" s="1053" t="s">
        <v>48</v>
      </c>
      <c r="R190" s="1055"/>
      <c r="S190" s="1053" t="s">
        <v>33</v>
      </c>
      <c r="T190" s="1055"/>
      <c r="U190" s="1053" t="s">
        <v>46</v>
      </c>
      <c r="V190" s="1055"/>
      <c r="W190" s="461"/>
      <c r="Y190" s="472"/>
    </row>
    <row r="191" spans="2:26" ht="17.100000000000001" customHeight="1">
      <c r="B191" s="460"/>
      <c r="C191" s="1056"/>
      <c r="D191" s="1057"/>
      <c r="E191" s="1057"/>
      <c r="F191" s="1057"/>
      <c r="G191" s="1057"/>
      <c r="H191" s="1058"/>
      <c r="I191" s="1056"/>
      <c r="J191" s="1058"/>
      <c r="K191" s="1056"/>
      <c r="L191" s="1058"/>
      <c r="M191" s="1056"/>
      <c r="N191" s="1058"/>
      <c r="O191" s="1056"/>
      <c r="P191" s="1058"/>
      <c r="Q191" s="1056"/>
      <c r="R191" s="1058"/>
      <c r="S191" s="1056"/>
      <c r="T191" s="1058"/>
      <c r="U191" s="1056"/>
      <c r="V191" s="1058"/>
      <c r="W191" s="461"/>
      <c r="Z191" s="472"/>
    </row>
    <row r="192" spans="2:26" ht="14.1" customHeight="1">
      <c r="B192" s="462"/>
      <c r="C192" s="1043" t="s">
        <v>238</v>
      </c>
      <c r="D192" s="1044"/>
      <c r="E192" s="1044"/>
      <c r="F192" s="1044"/>
      <c r="G192" s="1044"/>
      <c r="H192" s="1044"/>
      <c r="I192" s="144"/>
      <c r="J192" s="463"/>
      <c r="K192" s="463"/>
      <c r="L192" s="463"/>
      <c r="M192" s="464"/>
      <c r="N192" s="465"/>
      <c r="O192" s="464"/>
      <c r="P192" s="464"/>
      <c r="Q192" s="465"/>
      <c r="R192" s="153"/>
      <c r="S192" s="500"/>
      <c r="T192" s="463"/>
      <c r="U192" s="463"/>
      <c r="V192" s="466"/>
      <c r="W192" s="467"/>
    </row>
    <row r="193" spans="2:25" ht="14.1" customHeight="1">
      <c r="C193" s="1031"/>
      <c r="D193" s="1094"/>
      <c r="E193" s="1094"/>
      <c r="F193" s="1094"/>
      <c r="G193" s="1094"/>
      <c r="H193" s="1094"/>
      <c r="I193" s="1035">
        <v>7</v>
      </c>
      <c r="J193" s="1036"/>
      <c r="K193" s="1039">
        <v>2</v>
      </c>
      <c r="L193" s="1030" t="s">
        <v>0</v>
      </c>
      <c r="M193" s="1039">
        <v>2</v>
      </c>
      <c r="N193" s="1030" t="s">
        <v>0</v>
      </c>
      <c r="O193" s="1041">
        <v>1.5</v>
      </c>
      <c r="P193" s="1030" t="s">
        <v>0</v>
      </c>
      <c r="Q193" s="1039">
        <f>I193*K193*M193</f>
        <v>28</v>
      </c>
      <c r="R193" s="1026" t="s">
        <v>17</v>
      </c>
      <c r="S193" s="1028">
        <f>(I193*K193*M193*O193)*1.2</f>
        <v>50.4</v>
      </c>
      <c r="T193" s="1030" t="s">
        <v>18</v>
      </c>
      <c r="U193" s="1031" t="s">
        <v>28</v>
      </c>
      <c r="V193" s="1032"/>
      <c r="W193" s="461"/>
      <c r="Y193" s="1178"/>
    </row>
    <row r="194" spans="2:25" ht="14.1" customHeight="1">
      <c r="B194" s="462"/>
      <c r="C194" s="1033"/>
      <c r="D194" s="1046"/>
      <c r="E194" s="1046"/>
      <c r="F194" s="1046"/>
      <c r="G194" s="1046"/>
      <c r="H194" s="1046"/>
      <c r="I194" s="1037"/>
      <c r="J194" s="1038"/>
      <c r="K194" s="1040"/>
      <c r="L194" s="1002"/>
      <c r="M194" s="1040"/>
      <c r="N194" s="1002"/>
      <c r="O194" s="1042"/>
      <c r="P194" s="1002"/>
      <c r="Q194" s="1040"/>
      <c r="R194" s="1027"/>
      <c r="S194" s="1029"/>
      <c r="T194" s="1002"/>
      <c r="U194" s="1033"/>
      <c r="V194" s="1034"/>
      <c r="W194" s="461"/>
      <c r="Y194" s="1178"/>
    </row>
    <row r="195" spans="2:25" ht="14.1" customHeight="1">
      <c r="B195" s="431"/>
      <c r="C195" s="994"/>
      <c r="D195" s="994"/>
      <c r="E195" s="994"/>
      <c r="F195" s="994"/>
      <c r="G195" s="994"/>
      <c r="H195" s="994"/>
      <c r="I195" s="994"/>
      <c r="J195" s="994"/>
      <c r="K195" s="994"/>
      <c r="L195" s="994"/>
      <c r="M195" s="994"/>
      <c r="N195" s="994"/>
      <c r="O195" s="994"/>
      <c r="P195" s="994"/>
      <c r="Q195" s="994"/>
      <c r="R195" s="994"/>
      <c r="S195" s="994"/>
      <c r="T195" s="994"/>
      <c r="U195" s="994"/>
      <c r="V195" s="994"/>
      <c r="W195" s="454"/>
      <c r="Y195" s="1178"/>
    </row>
    <row r="196" spans="2:25" ht="14.1" customHeight="1">
      <c r="B196" s="431"/>
      <c r="C196" s="155"/>
      <c r="D196" s="7"/>
      <c r="E196" s="7"/>
      <c r="F196" s="7"/>
      <c r="G196" s="7"/>
      <c r="H196" s="7"/>
      <c r="I196" s="155"/>
      <c r="J196" s="409"/>
      <c r="K196" s="409"/>
      <c r="L196" s="409"/>
      <c r="M196" s="164"/>
      <c r="N196" s="165"/>
      <c r="O196" s="409"/>
      <c r="P196" s="409"/>
      <c r="Q196" s="166"/>
      <c r="R196" s="167"/>
      <c r="S196" s="468"/>
      <c r="T196" s="469"/>
      <c r="U196" s="470"/>
      <c r="V196" s="471"/>
      <c r="W196" s="432"/>
    </row>
    <row r="197" spans="2:25" ht="14.1" customHeight="1">
      <c r="B197" s="431"/>
      <c r="C197" s="132" t="s">
        <v>265</v>
      </c>
      <c r="D197" s="476" t="s">
        <v>1181</v>
      </c>
      <c r="E197" s="477"/>
      <c r="F197" s="477"/>
      <c r="G197" s="504"/>
      <c r="H197" s="7"/>
      <c r="I197" s="155"/>
      <c r="J197" s="409"/>
      <c r="K197" s="409"/>
      <c r="L197" s="409"/>
      <c r="M197" s="164"/>
      <c r="N197" s="165"/>
      <c r="O197" s="409"/>
      <c r="P197" s="409"/>
      <c r="Q197" s="166"/>
      <c r="R197" s="167"/>
      <c r="S197" s="468"/>
      <c r="T197" s="469"/>
      <c r="U197" s="470"/>
      <c r="V197" s="471"/>
      <c r="W197" s="432"/>
    </row>
    <row r="198" spans="2:25" ht="14.1" customHeight="1">
      <c r="B198" s="431"/>
      <c r="C198" s="155"/>
      <c r="D198" s="31" t="s">
        <v>428</v>
      </c>
      <c r="E198" s="44" t="s">
        <v>205</v>
      </c>
      <c r="F198" s="443"/>
      <c r="G198" s="443"/>
      <c r="H198" s="7"/>
      <c r="I198" s="155"/>
      <c r="J198" s="409"/>
      <c r="K198" s="409"/>
      <c r="L198" s="409"/>
      <c r="M198" s="164"/>
      <c r="N198" s="165"/>
      <c r="O198" s="409"/>
      <c r="P198" s="409"/>
      <c r="Q198" s="166"/>
      <c r="R198" s="167"/>
      <c r="S198" s="468"/>
      <c r="T198" s="469"/>
      <c r="U198" s="470"/>
      <c r="V198" s="471"/>
      <c r="W198" s="432"/>
    </row>
    <row r="199" spans="2:25" ht="14.1" customHeight="1">
      <c r="B199" s="431"/>
      <c r="C199" s="155"/>
      <c r="D199" s="31"/>
      <c r="E199" s="8" t="s">
        <v>1180</v>
      </c>
      <c r="F199" s="179"/>
      <c r="G199" s="179"/>
      <c r="H199" s="179"/>
      <c r="I199" s="179"/>
      <c r="J199" s="179"/>
      <c r="K199" s="179"/>
      <c r="L199" s="179"/>
      <c r="M199" s="179"/>
      <c r="N199" s="179"/>
      <c r="O199" s="179"/>
      <c r="P199" s="179"/>
      <c r="Q199" s="9"/>
      <c r="R199" s="157">
        <f>SUM(F183:G188)</f>
        <v>582</v>
      </c>
      <c r="S199" s="156" t="s">
        <v>0</v>
      </c>
      <c r="T199" s="469"/>
      <c r="U199" s="470"/>
      <c r="V199" s="471"/>
      <c r="W199" s="432"/>
    </row>
    <row r="200" spans="2:25" ht="14.1" customHeight="1">
      <c r="B200" s="431"/>
      <c r="C200" s="155"/>
      <c r="D200" s="31"/>
      <c r="E200" s="206"/>
      <c r="F200" s="180"/>
      <c r="G200" s="180"/>
      <c r="H200" s="180"/>
      <c r="I200" s="180"/>
      <c r="J200" s="180"/>
      <c r="K200" s="180"/>
      <c r="L200" s="180"/>
      <c r="M200" s="180"/>
      <c r="N200" s="180"/>
      <c r="O200" s="180"/>
      <c r="P200" s="180"/>
      <c r="Q200" s="180"/>
      <c r="R200" s="317"/>
      <c r="S200" s="317"/>
      <c r="T200" s="469"/>
      <c r="U200" s="470"/>
      <c r="V200" s="471"/>
      <c r="W200" s="432"/>
    </row>
    <row r="201" spans="2:25" ht="14.1" customHeight="1">
      <c r="B201" s="431"/>
      <c r="C201" s="87"/>
      <c r="D201" s="87"/>
      <c r="E201" s="87"/>
      <c r="F201" s="87"/>
      <c r="G201" s="87"/>
      <c r="H201" s="87"/>
      <c r="I201" s="87"/>
      <c r="J201" s="87"/>
      <c r="K201" s="87"/>
      <c r="L201" s="87"/>
      <c r="M201" s="87"/>
      <c r="N201" s="87"/>
      <c r="O201" s="87"/>
      <c r="P201" s="87"/>
      <c r="Q201" s="87"/>
      <c r="R201" s="87"/>
      <c r="S201" s="87"/>
      <c r="T201" s="87"/>
      <c r="U201" s="87"/>
      <c r="V201" s="87"/>
      <c r="W201" s="432"/>
    </row>
    <row r="202" spans="2:25">
      <c r="C202" s="132" t="s">
        <v>429</v>
      </c>
      <c r="D202" s="508" t="s">
        <v>176</v>
      </c>
      <c r="E202" s="509"/>
      <c r="F202" s="509"/>
      <c r="G202" s="509"/>
      <c r="H202" s="509"/>
      <c r="I202" s="509"/>
      <c r="J202" s="509"/>
      <c r="K202" s="509"/>
      <c r="L202" s="509"/>
      <c r="M202" s="509"/>
      <c r="N202" s="509"/>
      <c r="O202" s="509"/>
      <c r="P202" s="509"/>
      <c r="Q202" s="509"/>
      <c r="R202" s="509"/>
      <c r="S202" s="509"/>
      <c r="T202" s="509"/>
      <c r="U202" s="509"/>
      <c r="V202" s="510"/>
    </row>
    <row r="203" spans="2:25">
      <c r="D203" s="31" t="s">
        <v>430</v>
      </c>
      <c r="E203" s="44" t="s">
        <v>37</v>
      </c>
      <c r="F203" s="443"/>
      <c r="G203" s="443"/>
      <c r="H203" s="443"/>
      <c r="I203" s="443"/>
      <c r="J203" s="443"/>
      <c r="K203" s="443"/>
      <c r="L203" s="443"/>
      <c r="M203" s="443"/>
      <c r="N203" s="443"/>
      <c r="O203" s="443"/>
      <c r="P203" s="443"/>
      <c r="Q203" s="443"/>
      <c r="R203" s="158"/>
    </row>
    <row r="204" spans="2:25">
      <c r="F204" s="982" t="s">
        <v>191</v>
      </c>
      <c r="G204" s="983"/>
      <c r="H204" s="983"/>
      <c r="I204" s="983"/>
      <c r="J204" s="983"/>
      <c r="K204" s="995"/>
      <c r="L204" s="997" t="s">
        <v>192</v>
      </c>
      <c r="M204" s="999">
        <v>12</v>
      </c>
      <c r="N204" s="1001" t="s">
        <v>193</v>
      </c>
    </row>
    <row r="205" spans="2:25">
      <c r="F205" s="984"/>
      <c r="G205" s="985"/>
      <c r="H205" s="985"/>
      <c r="I205" s="985"/>
      <c r="J205" s="985"/>
      <c r="K205" s="996"/>
      <c r="L205" s="998"/>
      <c r="M205" s="1000"/>
      <c r="N205" s="1002"/>
    </row>
    <row r="207" spans="2:25">
      <c r="F207" s="974" t="s">
        <v>194</v>
      </c>
      <c r="G207" s="975"/>
      <c r="H207" s="975"/>
      <c r="I207" s="975"/>
      <c r="J207" s="976"/>
      <c r="K207" s="982" t="s">
        <v>195</v>
      </c>
      <c r="L207" s="983"/>
      <c r="M207" s="983"/>
      <c r="N207" s="983"/>
      <c r="O207" s="983"/>
      <c r="P207" s="983"/>
      <c r="Q207" s="995"/>
      <c r="R207" s="136"/>
      <c r="S207" s="11"/>
    </row>
    <row r="208" spans="2:25">
      <c r="F208" s="10"/>
      <c r="G208" s="10"/>
      <c r="H208" s="10"/>
      <c r="I208" s="10"/>
      <c r="J208" s="10"/>
      <c r="K208" s="10"/>
      <c r="L208" s="10"/>
      <c r="M208" s="10"/>
      <c r="N208" s="10"/>
      <c r="O208" s="10"/>
      <c r="P208" s="10"/>
      <c r="Q208" s="10"/>
      <c r="R208" s="11"/>
      <c r="S208" s="11"/>
    </row>
    <row r="209" spans="4:19">
      <c r="F209" s="10"/>
      <c r="G209" s="10"/>
      <c r="H209" s="10"/>
      <c r="I209" s="10"/>
      <c r="J209" s="10"/>
      <c r="K209" s="982" t="s">
        <v>1182</v>
      </c>
      <c r="L209" s="983"/>
      <c r="M209" s="983"/>
      <c r="N209" s="983"/>
      <c r="O209" s="983"/>
      <c r="P209" s="983"/>
      <c r="Q209" s="995"/>
      <c r="R209" s="136"/>
      <c r="S209" s="136"/>
    </row>
    <row r="210" spans="4:19">
      <c r="F210" s="10"/>
      <c r="G210" s="10"/>
      <c r="H210" s="10"/>
      <c r="I210" s="10"/>
      <c r="J210" s="10"/>
      <c r="K210" s="1068"/>
      <c r="L210" s="973"/>
      <c r="M210" s="973"/>
      <c r="N210" s="973"/>
      <c r="O210" s="973"/>
      <c r="P210" s="973"/>
      <c r="Q210" s="1069"/>
      <c r="R210" s="11"/>
      <c r="S210" s="11"/>
    </row>
    <row r="211" spans="4:19">
      <c r="F211" s="10"/>
      <c r="G211" s="10"/>
      <c r="H211" s="10"/>
      <c r="I211" s="10"/>
      <c r="J211" s="10"/>
      <c r="K211" s="984"/>
      <c r="L211" s="985"/>
      <c r="M211" s="985"/>
      <c r="N211" s="985"/>
      <c r="O211" s="985"/>
      <c r="P211" s="985"/>
      <c r="Q211" s="996"/>
      <c r="R211" s="11"/>
      <c r="S211" s="11"/>
    </row>
    <row r="212" spans="4:19">
      <c r="F212" s="10"/>
      <c r="G212" s="10"/>
      <c r="H212" s="10"/>
      <c r="I212" s="10"/>
      <c r="J212" s="10"/>
      <c r="K212" s="990" t="s">
        <v>196</v>
      </c>
      <c r="L212" s="991"/>
      <c r="M212" s="991"/>
      <c r="N212" s="991"/>
      <c r="O212" s="991"/>
      <c r="P212" s="991"/>
      <c r="Q212" s="992"/>
      <c r="R212" s="11"/>
      <c r="S212" s="11"/>
    </row>
    <row r="213" spans="4:19">
      <c r="F213" s="10"/>
      <c r="G213" s="10"/>
      <c r="H213" s="10"/>
      <c r="I213" s="10"/>
      <c r="J213" s="10"/>
      <c r="K213" s="982" t="s">
        <v>1183</v>
      </c>
      <c r="L213" s="983"/>
      <c r="M213" s="983"/>
      <c r="N213" s="983"/>
      <c r="O213" s="983"/>
      <c r="P213" s="983"/>
      <c r="Q213" s="983"/>
      <c r="R213" s="11"/>
      <c r="S213" s="11"/>
    </row>
    <row r="214" spans="4:19">
      <c r="F214" s="10"/>
      <c r="G214" s="10"/>
      <c r="H214" s="10"/>
      <c r="I214" s="10"/>
      <c r="J214" s="10"/>
      <c r="K214" s="984"/>
      <c r="L214" s="985"/>
      <c r="M214" s="985"/>
      <c r="N214" s="985"/>
      <c r="O214" s="985"/>
      <c r="P214" s="985"/>
      <c r="Q214" s="985"/>
      <c r="R214" s="157">
        <f>(2*(SUM(F183:G188)/M204))+((I193*(K193*2+M193*2))/M204)</f>
        <v>101.66666666666667</v>
      </c>
      <c r="S214" s="156" t="s">
        <v>0</v>
      </c>
    </row>
    <row r="216" spans="4:19">
      <c r="D216" s="31" t="s">
        <v>431</v>
      </c>
      <c r="E216" s="44" t="s">
        <v>36</v>
      </c>
    </row>
    <row r="217" spans="4:19">
      <c r="D217" s="31"/>
      <c r="E217" s="44"/>
      <c r="F217" s="982" t="s">
        <v>191</v>
      </c>
      <c r="G217" s="983"/>
      <c r="H217" s="983"/>
      <c r="I217" s="983"/>
      <c r="J217" s="983"/>
      <c r="K217" s="995"/>
      <c r="L217" s="997" t="s">
        <v>192</v>
      </c>
      <c r="M217" s="999">
        <v>12</v>
      </c>
      <c r="N217" s="1001" t="s">
        <v>193</v>
      </c>
    </row>
    <row r="218" spans="4:19">
      <c r="D218" s="31"/>
      <c r="E218" s="44"/>
      <c r="F218" s="984"/>
      <c r="G218" s="985"/>
      <c r="H218" s="985"/>
      <c r="I218" s="985"/>
      <c r="J218" s="985"/>
      <c r="K218" s="996"/>
      <c r="L218" s="998"/>
      <c r="M218" s="1000"/>
      <c r="N218" s="1002"/>
    </row>
    <row r="219" spans="4:19">
      <c r="D219" s="31"/>
      <c r="E219" s="44"/>
    </row>
    <row r="220" spans="4:19">
      <c r="D220" s="31"/>
      <c r="E220" s="44"/>
      <c r="F220" s="974" t="s">
        <v>194</v>
      </c>
      <c r="G220" s="975"/>
      <c r="H220" s="975"/>
      <c r="I220" s="975"/>
      <c r="J220" s="976"/>
      <c r="K220" s="982" t="s">
        <v>195</v>
      </c>
      <c r="L220" s="983"/>
      <c r="M220" s="983"/>
      <c r="N220" s="983"/>
      <c r="O220" s="983"/>
      <c r="P220" s="983"/>
      <c r="Q220" s="995"/>
      <c r="R220" s="136"/>
      <c r="S220" s="11"/>
    </row>
    <row r="221" spans="4:19">
      <c r="D221" s="31"/>
      <c r="E221" s="44"/>
      <c r="F221" s="10"/>
      <c r="G221" s="10"/>
      <c r="H221" s="10"/>
      <c r="I221" s="10"/>
      <c r="J221" s="10"/>
      <c r="K221" s="10"/>
      <c r="L221" s="10"/>
      <c r="M221" s="10"/>
      <c r="N221" s="10"/>
      <c r="O221" s="10"/>
      <c r="P221" s="10"/>
      <c r="Q221" s="10"/>
      <c r="R221" s="11"/>
      <c r="S221" s="11"/>
    </row>
    <row r="222" spans="4:19">
      <c r="F222" s="10"/>
      <c r="G222" s="10"/>
      <c r="H222" s="10"/>
      <c r="I222" s="10"/>
      <c r="J222" s="10"/>
      <c r="K222" s="982" t="s">
        <v>1182</v>
      </c>
      <c r="L222" s="983"/>
      <c r="M222" s="983"/>
      <c r="N222" s="983"/>
      <c r="O222" s="983"/>
      <c r="P222" s="983"/>
      <c r="Q222" s="995"/>
      <c r="R222" s="136"/>
      <c r="S222" s="136"/>
    </row>
    <row r="223" spans="4:19">
      <c r="F223" s="10"/>
      <c r="G223" s="10"/>
      <c r="H223" s="10"/>
      <c r="I223" s="10"/>
      <c r="J223" s="10"/>
      <c r="K223" s="1068"/>
      <c r="L223" s="973"/>
      <c r="M223" s="973"/>
      <c r="N223" s="973"/>
      <c r="O223" s="973"/>
      <c r="P223" s="973"/>
      <c r="Q223" s="1069"/>
      <c r="R223" s="11"/>
      <c r="S223" s="11"/>
    </row>
    <row r="224" spans="4:19">
      <c r="F224" s="10"/>
      <c r="G224" s="10"/>
      <c r="H224" s="10"/>
      <c r="I224" s="10"/>
      <c r="J224" s="10"/>
      <c r="K224" s="984"/>
      <c r="L224" s="985"/>
      <c r="M224" s="985"/>
      <c r="N224" s="985"/>
      <c r="O224" s="985"/>
      <c r="P224" s="985"/>
      <c r="Q224" s="996"/>
      <c r="R224" s="11"/>
      <c r="S224" s="11"/>
    </row>
    <row r="225" spans="3:22">
      <c r="F225" s="10"/>
      <c r="G225" s="10"/>
      <c r="H225" s="10"/>
      <c r="I225" s="10"/>
      <c r="J225" s="10"/>
      <c r="K225" s="990" t="s">
        <v>196</v>
      </c>
      <c r="L225" s="991"/>
      <c r="M225" s="991"/>
      <c r="N225" s="991"/>
      <c r="O225" s="991"/>
      <c r="P225" s="991"/>
      <c r="Q225" s="992"/>
      <c r="R225" s="11"/>
      <c r="S225" s="11"/>
    </row>
    <row r="226" spans="3:22">
      <c r="F226" s="10"/>
      <c r="G226" s="10"/>
      <c r="H226" s="10"/>
      <c r="I226" s="10"/>
      <c r="J226" s="10"/>
      <c r="K226" s="982" t="s">
        <v>1183</v>
      </c>
      <c r="L226" s="983"/>
      <c r="M226" s="983"/>
      <c r="N226" s="983"/>
      <c r="O226" s="983"/>
      <c r="P226" s="983"/>
      <c r="Q226" s="983"/>
      <c r="R226" s="11"/>
      <c r="S226" s="11"/>
    </row>
    <row r="227" spans="3:22">
      <c r="F227" s="10"/>
      <c r="G227" s="10"/>
      <c r="H227" s="10"/>
      <c r="I227" s="10"/>
      <c r="J227" s="10"/>
      <c r="K227" s="984"/>
      <c r="L227" s="985"/>
      <c r="M227" s="985"/>
      <c r="N227" s="985"/>
      <c r="O227" s="985"/>
      <c r="P227" s="985"/>
      <c r="Q227" s="985"/>
      <c r="R227" s="157">
        <f>(2*(SUM(F183:G188)/M217))+((I193*(K193*2+M193*2))/M217)</f>
        <v>101.66666666666667</v>
      </c>
      <c r="S227" s="156" t="s">
        <v>0</v>
      </c>
    </row>
    <row r="228" spans="3:22">
      <c r="F228" s="10"/>
      <c r="G228" s="10"/>
      <c r="H228" s="10"/>
      <c r="I228" s="10"/>
      <c r="J228" s="10"/>
      <c r="K228" s="530"/>
      <c r="L228" s="531"/>
      <c r="M228" s="531"/>
      <c r="N228" s="531"/>
      <c r="O228" s="531"/>
      <c r="P228" s="531"/>
      <c r="Q228" s="532"/>
      <c r="R228" s="11"/>
      <c r="S228" s="11"/>
    </row>
    <row r="230" spans="3:22">
      <c r="C230" s="132" t="s">
        <v>432</v>
      </c>
      <c r="D230" s="508" t="s">
        <v>1184</v>
      </c>
      <c r="E230" s="177"/>
      <c r="F230" s="177"/>
      <c r="G230" s="177"/>
      <c r="H230" s="177"/>
      <c r="I230" s="177"/>
      <c r="J230" s="177"/>
      <c r="K230" s="177"/>
      <c r="L230" s="177"/>
      <c r="M230" s="177"/>
      <c r="N230" s="177"/>
      <c r="O230" s="177"/>
      <c r="P230" s="177"/>
      <c r="Q230" s="177"/>
      <c r="R230" s="177"/>
      <c r="S230" s="177"/>
      <c r="T230" s="177"/>
      <c r="U230" s="177"/>
      <c r="V230" s="178"/>
    </row>
    <row r="231" spans="3:22">
      <c r="D231" s="86"/>
      <c r="E231" s="86"/>
      <c r="F231" s="86"/>
      <c r="G231" s="86"/>
      <c r="H231" s="86"/>
      <c r="I231" s="86"/>
      <c r="J231" s="86"/>
      <c r="K231" s="86"/>
      <c r="L231" s="86"/>
      <c r="M231" s="86"/>
      <c r="N231" s="86"/>
      <c r="O231" s="86"/>
      <c r="P231" s="86"/>
      <c r="Q231" s="86"/>
      <c r="R231" s="403"/>
    </row>
    <row r="232" spans="3:22">
      <c r="D232" s="31" t="s">
        <v>433</v>
      </c>
      <c r="E232" s="86" t="s">
        <v>21</v>
      </c>
      <c r="F232" s="86"/>
      <c r="G232" s="86"/>
      <c r="H232" s="86"/>
      <c r="I232" s="86"/>
      <c r="J232" s="86"/>
      <c r="K232" s="86"/>
      <c r="L232" s="86"/>
      <c r="M232" s="86"/>
      <c r="N232" s="86"/>
      <c r="O232" s="86"/>
      <c r="P232" s="86"/>
      <c r="Q232" s="86"/>
      <c r="R232" s="403"/>
    </row>
    <row r="233" spans="3:22">
      <c r="D233" s="31"/>
      <c r="E233" s="86"/>
      <c r="F233" s="86"/>
      <c r="G233" s="86"/>
      <c r="H233" s="86"/>
      <c r="I233" s="86"/>
      <c r="J233" s="86"/>
      <c r="K233" s="86"/>
      <c r="L233" s="86"/>
      <c r="M233" s="86"/>
      <c r="N233" s="86"/>
      <c r="O233" s="86"/>
      <c r="P233" s="86"/>
      <c r="Q233" s="86"/>
      <c r="R233" s="403"/>
    </row>
    <row r="234" spans="3:22">
      <c r="D234" s="31"/>
      <c r="E234" s="86" t="s">
        <v>1185</v>
      </c>
      <c r="F234" s="86"/>
      <c r="G234" s="86"/>
      <c r="H234" s="86"/>
      <c r="I234" s="86"/>
      <c r="J234" s="86"/>
      <c r="K234" s="86"/>
      <c r="L234" s="86"/>
      <c r="M234" s="86"/>
      <c r="N234" s="86"/>
      <c r="O234" s="86"/>
      <c r="P234" s="86"/>
      <c r="Q234" s="86"/>
      <c r="R234" s="157">
        <f>ROUND(SUM(F183:G188)*2,2)</f>
        <v>1164</v>
      </c>
      <c r="S234" s="156" t="s">
        <v>0</v>
      </c>
    </row>
    <row r="235" spans="3:22">
      <c r="D235" s="31"/>
      <c r="E235" s="86"/>
      <c r="F235" s="86"/>
      <c r="G235" s="86"/>
      <c r="H235" s="86"/>
      <c r="I235" s="86"/>
      <c r="J235" s="86"/>
      <c r="K235" s="86"/>
      <c r="L235" s="86"/>
      <c r="M235" s="86"/>
      <c r="N235" s="86"/>
      <c r="O235" s="86"/>
      <c r="P235" s="86"/>
      <c r="Q235" s="86"/>
      <c r="R235" s="403"/>
    </row>
    <row r="236" spans="3:22">
      <c r="D236" s="31"/>
      <c r="E236" s="86"/>
      <c r="F236" s="86"/>
      <c r="G236" s="86"/>
      <c r="H236" s="86"/>
      <c r="I236" s="86"/>
      <c r="J236" s="86"/>
      <c r="K236" s="86"/>
      <c r="L236" s="86"/>
      <c r="M236" s="86"/>
      <c r="N236" s="86"/>
      <c r="O236" s="86"/>
      <c r="P236" s="86"/>
      <c r="Q236" s="86"/>
      <c r="R236" s="403"/>
    </row>
    <row r="237" spans="3:22">
      <c r="D237" s="31" t="s">
        <v>434</v>
      </c>
      <c r="E237" s="86" t="s">
        <v>22</v>
      </c>
      <c r="F237" s="86"/>
      <c r="G237" s="86"/>
      <c r="H237" s="86"/>
      <c r="I237" s="86"/>
      <c r="J237" s="86"/>
      <c r="K237" s="86"/>
      <c r="L237" s="86"/>
      <c r="M237" s="86"/>
      <c r="N237" s="86"/>
      <c r="O237" s="86"/>
      <c r="P237" s="86"/>
      <c r="Q237" s="86"/>
      <c r="R237" s="403"/>
    </row>
    <row r="238" spans="3:22">
      <c r="D238" s="31"/>
      <c r="E238" s="86"/>
      <c r="F238" s="86"/>
      <c r="G238" s="86"/>
      <c r="H238" s="86"/>
      <c r="I238" s="86"/>
      <c r="J238" s="86"/>
      <c r="K238" s="86"/>
      <c r="L238" s="86"/>
      <c r="M238" s="86"/>
      <c r="N238" s="86"/>
      <c r="O238" s="86"/>
      <c r="P238" s="86"/>
      <c r="Q238" s="86"/>
      <c r="R238" s="403"/>
    </row>
    <row r="239" spans="3:22">
      <c r="D239" s="31"/>
      <c r="E239" s="86" t="s">
        <v>197</v>
      </c>
      <c r="F239" s="86"/>
      <c r="G239" s="86"/>
      <c r="H239" s="86"/>
      <c r="I239" s="86"/>
      <c r="J239" s="86"/>
      <c r="K239" s="86"/>
      <c r="L239" s="86"/>
      <c r="M239" s="86"/>
      <c r="N239" s="86"/>
      <c r="O239" s="86"/>
      <c r="P239" s="86"/>
      <c r="Q239" s="86"/>
      <c r="R239" s="157">
        <f>SUM(O183:O188)</f>
        <v>465.6</v>
      </c>
      <c r="S239" s="156" t="s">
        <v>17</v>
      </c>
    </row>
    <row r="240" spans="3:22">
      <c r="D240" s="31"/>
      <c r="E240" s="86"/>
      <c r="F240" s="86"/>
      <c r="G240" s="86"/>
      <c r="H240" s="86"/>
      <c r="I240" s="86"/>
      <c r="J240" s="86"/>
      <c r="K240" s="86"/>
      <c r="L240" s="86"/>
      <c r="M240" s="86"/>
      <c r="N240" s="86"/>
      <c r="O240" s="86"/>
      <c r="P240" s="86"/>
      <c r="Q240" s="86"/>
      <c r="R240" s="403"/>
    </row>
    <row r="241" spans="4:22">
      <c r="D241" s="31"/>
      <c r="E241" s="86"/>
      <c r="F241" s="86"/>
      <c r="G241" s="86"/>
      <c r="H241" s="86"/>
      <c r="I241" s="86"/>
      <c r="J241" s="86"/>
      <c r="K241" s="86"/>
      <c r="L241" s="86"/>
      <c r="M241" s="86"/>
      <c r="N241" s="86"/>
      <c r="O241" s="86"/>
      <c r="P241" s="86"/>
      <c r="Q241" s="86"/>
      <c r="R241" s="403"/>
    </row>
    <row r="242" spans="4:22">
      <c r="D242" s="31" t="s">
        <v>435</v>
      </c>
      <c r="E242" s="86" t="s">
        <v>23</v>
      </c>
      <c r="F242" s="86"/>
      <c r="G242" s="86"/>
      <c r="H242" s="86"/>
      <c r="I242" s="86"/>
      <c r="J242" s="86"/>
      <c r="K242" s="86"/>
      <c r="L242" s="86"/>
      <c r="M242" s="86"/>
      <c r="N242" s="86"/>
      <c r="O242" s="86"/>
      <c r="P242" s="86"/>
      <c r="Q242" s="86"/>
      <c r="R242" s="403"/>
    </row>
    <row r="243" spans="4:22">
      <c r="D243" s="31"/>
      <c r="E243" s="86"/>
      <c r="F243" s="86"/>
      <c r="G243" s="86"/>
      <c r="H243" s="86"/>
      <c r="I243" s="86"/>
      <c r="J243" s="86"/>
      <c r="K243" s="86"/>
      <c r="L243" s="86"/>
      <c r="M243" s="86"/>
      <c r="N243" s="86"/>
      <c r="O243" s="86"/>
      <c r="P243" s="86"/>
      <c r="Q243" s="86"/>
      <c r="R243" s="403"/>
      <c r="V243" s="472"/>
    </row>
    <row r="244" spans="4:22">
      <c r="D244" s="31"/>
      <c r="E244" s="86" t="s">
        <v>1194</v>
      </c>
      <c r="F244" s="86"/>
      <c r="G244" s="86"/>
      <c r="H244" s="86"/>
      <c r="I244" s="86"/>
      <c r="J244" s="86"/>
      <c r="K244" s="86"/>
      <c r="L244" s="86"/>
      <c r="M244" s="86"/>
      <c r="N244" s="86"/>
      <c r="O244" s="86"/>
      <c r="P244" s="86"/>
      <c r="Q244" s="86"/>
      <c r="R244" s="157">
        <f>R239*0.05</f>
        <v>23.28</v>
      </c>
      <c r="S244" s="156" t="s">
        <v>18</v>
      </c>
      <c r="U244" s="472"/>
      <c r="V244" s="533"/>
    </row>
    <row r="245" spans="4:22">
      <c r="D245" s="31"/>
      <c r="E245" s="86"/>
      <c r="F245" s="86"/>
      <c r="G245" s="86"/>
      <c r="H245" s="86"/>
      <c r="I245" s="86"/>
      <c r="J245" s="86"/>
      <c r="K245" s="86"/>
      <c r="L245" s="86"/>
      <c r="M245" s="86"/>
      <c r="N245" s="86"/>
      <c r="O245" s="86"/>
      <c r="P245" s="86"/>
      <c r="Q245" s="86"/>
      <c r="R245" s="403"/>
    </row>
    <row r="246" spans="4:22">
      <c r="D246" s="31"/>
      <c r="E246" s="86"/>
      <c r="F246" s="86"/>
      <c r="G246" s="86"/>
      <c r="H246" s="86"/>
      <c r="I246" s="86"/>
      <c r="J246" s="86"/>
      <c r="K246" s="86"/>
      <c r="L246" s="86"/>
      <c r="M246" s="86"/>
      <c r="N246" s="86"/>
      <c r="O246" s="86"/>
      <c r="P246" s="86"/>
      <c r="Q246" s="86"/>
      <c r="R246" s="403"/>
    </row>
    <row r="247" spans="4:22" ht="41.25" customHeight="1">
      <c r="D247" s="31" t="s">
        <v>436</v>
      </c>
      <c r="E247" s="86" t="s">
        <v>178</v>
      </c>
      <c r="F247" s="86"/>
      <c r="G247" s="86"/>
      <c r="H247" s="86"/>
      <c r="I247" s="86"/>
      <c r="J247" s="86"/>
      <c r="K247" s="86"/>
      <c r="L247" s="86"/>
      <c r="M247" s="86"/>
      <c r="N247" s="86"/>
      <c r="O247" s="86"/>
      <c r="P247" s="86"/>
      <c r="Q247" s="86"/>
      <c r="R247" s="403"/>
    </row>
    <row r="248" spans="4:22">
      <c r="D248" s="31"/>
      <c r="E248" s="86"/>
      <c r="F248" s="86"/>
      <c r="G248" s="86"/>
      <c r="H248" s="86"/>
      <c r="I248" s="86"/>
      <c r="J248" s="86"/>
      <c r="K248" s="86"/>
      <c r="L248" s="86"/>
      <c r="M248" s="86"/>
      <c r="N248" s="86"/>
      <c r="O248" s="86"/>
      <c r="P248" s="86"/>
      <c r="Q248" s="86"/>
      <c r="R248" s="403"/>
    </row>
    <row r="249" spans="4:22">
      <c r="D249" s="31"/>
      <c r="E249" s="86" t="s">
        <v>208</v>
      </c>
      <c r="F249" s="86"/>
      <c r="G249" s="86"/>
      <c r="H249" s="86"/>
      <c r="I249" s="86"/>
      <c r="J249" s="86"/>
      <c r="K249" s="86"/>
      <c r="L249" s="86"/>
      <c r="M249" s="86"/>
      <c r="N249" s="86"/>
      <c r="O249" s="86"/>
      <c r="P249" s="86"/>
      <c r="Q249" s="86"/>
      <c r="R249" s="157">
        <f>ROUND(SUM(F183:G188)/50*10,0)*U249</f>
        <v>92.800000000000011</v>
      </c>
      <c r="S249" s="156" t="s">
        <v>179</v>
      </c>
      <c r="T249" s="170"/>
      <c r="U249" s="170">
        <v>0.8</v>
      </c>
    </row>
    <row r="250" spans="4:22">
      <c r="D250" s="31"/>
      <c r="E250" s="86"/>
      <c r="F250" s="86"/>
      <c r="G250" s="86"/>
      <c r="H250" s="86"/>
      <c r="I250" s="86"/>
      <c r="J250" s="86"/>
      <c r="K250" s="86"/>
      <c r="L250" s="86"/>
      <c r="M250" s="86"/>
      <c r="N250" s="86"/>
      <c r="O250" s="86"/>
      <c r="P250" s="86"/>
      <c r="Q250" s="86"/>
      <c r="R250" s="403"/>
    </row>
    <row r="251" spans="4:22">
      <c r="D251" s="31"/>
      <c r="E251" s="86"/>
      <c r="F251" s="86"/>
      <c r="G251" s="86"/>
      <c r="H251" s="86"/>
      <c r="I251" s="86"/>
      <c r="J251" s="86"/>
      <c r="K251" s="86"/>
      <c r="L251" s="86"/>
      <c r="M251" s="86"/>
      <c r="N251" s="86"/>
      <c r="O251" s="86"/>
      <c r="P251" s="86"/>
      <c r="Q251" s="86"/>
      <c r="R251" s="403"/>
    </row>
    <row r="252" spans="4:22" ht="38.25" customHeight="1">
      <c r="D252" s="31" t="s">
        <v>437</v>
      </c>
      <c r="E252" s="86" t="s">
        <v>178</v>
      </c>
      <c r="F252" s="86"/>
      <c r="G252" s="86"/>
      <c r="H252" s="86"/>
      <c r="I252" s="86"/>
      <c r="J252" s="86"/>
      <c r="K252" s="86"/>
      <c r="L252" s="86"/>
      <c r="M252" s="86"/>
      <c r="N252" s="86"/>
      <c r="O252" s="86"/>
      <c r="P252" s="86"/>
      <c r="Q252" s="86"/>
      <c r="R252" s="403"/>
    </row>
    <row r="253" spans="4:22">
      <c r="D253" s="31"/>
      <c r="E253" s="86"/>
      <c r="F253" s="86"/>
      <c r="G253" s="86"/>
      <c r="H253" s="86"/>
      <c r="I253" s="86"/>
      <c r="J253" s="86"/>
      <c r="K253" s="86"/>
      <c r="L253" s="86"/>
      <c r="M253" s="86"/>
      <c r="N253" s="86"/>
      <c r="O253" s="86"/>
      <c r="P253" s="86"/>
      <c r="Q253" s="86"/>
      <c r="R253" s="403"/>
    </row>
    <row r="254" spans="4:22">
      <c r="D254" s="31"/>
      <c r="E254" s="86" t="s">
        <v>208</v>
      </c>
      <c r="F254" s="86"/>
      <c r="G254" s="86"/>
      <c r="H254" s="86"/>
      <c r="I254" s="86"/>
      <c r="J254" s="86"/>
      <c r="K254" s="86"/>
      <c r="L254" s="86"/>
      <c r="M254" s="86"/>
      <c r="N254" s="86"/>
      <c r="O254" s="86"/>
      <c r="P254" s="86"/>
      <c r="Q254" s="86"/>
      <c r="R254" s="157">
        <f>ROUND(SUM(F183:G188)/50*10,0)*U254</f>
        <v>23.200000000000003</v>
      </c>
      <c r="S254" s="156" t="s">
        <v>180</v>
      </c>
      <c r="T254" s="170"/>
      <c r="U254" s="170">
        <v>0.2</v>
      </c>
    </row>
    <row r="255" spans="4:22">
      <c r="D255" s="31"/>
      <c r="E255" s="86"/>
      <c r="F255" s="86"/>
      <c r="G255" s="86"/>
      <c r="H255" s="86"/>
      <c r="I255" s="86"/>
      <c r="J255" s="86"/>
      <c r="K255" s="86"/>
      <c r="L255" s="86"/>
      <c r="M255" s="86"/>
      <c r="N255" s="86"/>
      <c r="O255" s="86"/>
      <c r="P255" s="86"/>
      <c r="Q255" s="86"/>
      <c r="R255" s="403"/>
    </row>
    <row r="256" spans="4:22">
      <c r="D256" s="31"/>
      <c r="E256" s="86"/>
      <c r="F256" s="86"/>
      <c r="G256" s="86"/>
      <c r="H256" s="86"/>
      <c r="I256" s="86"/>
      <c r="J256" s="86"/>
      <c r="K256" s="86"/>
      <c r="L256" s="86"/>
      <c r="M256" s="86"/>
      <c r="N256" s="86"/>
      <c r="O256" s="86"/>
      <c r="P256" s="86"/>
      <c r="Q256" s="86"/>
      <c r="R256" s="403"/>
    </row>
    <row r="257" spans="4:23">
      <c r="D257" s="31" t="s">
        <v>438</v>
      </c>
      <c r="E257" s="86" t="s">
        <v>1283</v>
      </c>
      <c r="F257" s="86"/>
      <c r="G257" s="86"/>
      <c r="H257" s="86"/>
      <c r="I257" s="86"/>
      <c r="J257" s="86"/>
      <c r="K257" s="86"/>
      <c r="L257" s="86"/>
      <c r="M257" s="86"/>
      <c r="N257" s="86"/>
      <c r="O257" s="86"/>
      <c r="P257" s="86"/>
      <c r="Q257" s="86"/>
      <c r="R257" s="403"/>
    </row>
    <row r="258" spans="4:23">
      <c r="D258" s="31"/>
      <c r="E258" s="86"/>
      <c r="F258" s="86" t="s">
        <v>198</v>
      </c>
      <c r="G258" s="86"/>
      <c r="H258" s="86"/>
      <c r="I258" s="86"/>
      <c r="J258" s="86"/>
      <c r="K258" s="86"/>
      <c r="L258" s="86" t="s">
        <v>192</v>
      </c>
      <c r="M258" s="171">
        <v>12</v>
      </c>
      <c r="N258" s="172" t="s">
        <v>193</v>
      </c>
      <c r="O258" s="86"/>
      <c r="P258" s="86"/>
      <c r="Q258" s="86"/>
      <c r="R258" s="403"/>
    </row>
    <row r="259" spans="4:23">
      <c r="D259" s="31"/>
      <c r="E259" s="86"/>
      <c r="F259" s="86"/>
      <c r="G259" s="86"/>
      <c r="H259" s="86"/>
      <c r="I259" s="86"/>
      <c r="J259" s="86"/>
      <c r="K259" s="86"/>
      <c r="L259" s="86"/>
      <c r="M259" s="86"/>
      <c r="N259" s="86"/>
      <c r="O259" s="86"/>
      <c r="P259" s="86"/>
      <c r="Q259" s="86"/>
      <c r="R259" s="403"/>
    </row>
    <row r="260" spans="4:23">
      <c r="D260" s="31"/>
      <c r="E260" s="86"/>
      <c r="F260" s="86" t="s">
        <v>199</v>
      </c>
      <c r="G260" s="86"/>
      <c r="H260" s="86"/>
      <c r="I260" s="86"/>
      <c r="J260" s="86"/>
      <c r="K260" s="86"/>
      <c r="L260" s="86" t="s">
        <v>192</v>
      </c>
      <c r="M260" s="536">
        <f>Y182</f>
        <v>1.5</v>
      </c>
      <c r="N260" s="172" t="s">
        <v>0</v>
      </c>
      <c r="O260" s="86"/>
      <c r="P260" s="86"/>
      <c r="Q260" s="86"/>
      <c r="R260" s="403"/>
    </row>
    <row r="261" spans="4:23">
      <c r="D261" s="31"/>
      <c r="E261" s="86"/>
      <c r="F261" s="86"/>
      <c r="G261" s="86"/>
      <c r="H261" s="86"/>
      <c r="I261" s="86"/>
      <c r="J261" s="86"/>
      <c r="K261" s="86"/>
      <c r="L261" s="86"/>
      <c r="M261" s="86"/>
      <c r="N261" s="86"/>
      <c r="O261" s="86"/>
      <c r="P261" s="86"/>
      <c r="Q261" s="86"/>
      <c r="R261" s="403"/>
    </row>
    <row r="262" spans="4:23">
      <c r="D262" s="31"/>
      <c r="E262" s="86" t="s">
        <v>1186</v>
      </c>
      <c r="F262" s="86"/>
      <c r="G262" s="86"/>
      <c r="H262" s="86"/>
      <c r="I262" s="86"/>
      <c r="J262" s="86"/>
      <c r="K262" s="86"/>
      <c r="L262" s="86"/>
      <c r="M262" s="86"/>
      <c r="N262" s="86"/>
      <c r="O262" s="86"/>
      <c r="P262" s="86"/>
      <c r="Q262" s="86"/>
      <c r="R262" s="159">
        <f>ROUND(((SUM(F183:G188))*M260*2)/M258,0)</f>
        <v>146</v>
      </c>
      <c r="S262" s="156" t="s">
        <v>17</v>
      </c>
    </row>
    <row r="263" spans="4:23">
      <c r="D263" s="162"/>
      <c r="E263" s="86"/>
      <c r="F263" s="86"/>
      <c r="G263" s="86"/>
      <c r="H263" s="86"/>
      <c r="I263" s="86"/>
      <c r="J263" s="86"/>
      <c r="K263" s="86"/>
      <c r="L263" s="86"/>
      <c r="M263" s="86"/>
      <c r="N263" s="86"/>
      <c r="O263" s="86"/>
      <c r="P263" s="86"/>
      <c r="Q263" s="86"/>
      <c r="R263" s="403"/>
    </row>
    <row r="264" spans="4:23">
      <c r="D264" s="162"/>
      <c r="E264" s="86"/>
      <c r="F264" s="86"/>
      <c r="G264" s="86"/>
      <c r="H264" s="86"/>
      <c r="I264" s="86"/>
      <c r="J264" s="86"/>
      <c r="K264" s="86"/>
      <c r="L264" s="86"/>
      <c r="M264" s="86"/>
      <c r="N264" s="86"/>
      <c r="O264" s="86"/>
      <c r="P264" s="86"/>
      <c r="Q264" s="86"/>
      <c r="R264" s="403"/>
    </row>
    <row r="265" spans="4:23" ht="21" customHeight="1">
      <c r="D265" s="31" t="s">
        <v>439</v>
      </c>
      <c r="E265" s="86" t="s">
        <v>207</v>
      </c>
      <c r="F265" s="86"/>
      <c r="G265" s="86"/>
      <c r="H265" s="86"/>
      <c r="I265" s="86"/>
      <c r="J265" s="86"/>
      <c r="K265" s="86"/>
      <c r="L265" s="86"/>
      <c r="M265" s="86"/>
      <c r="N265" s="86"/>
      <c r="O265" s="86"/>
      <c r="P265" s="86"/>
      <c r="Q265" s="86"/>
      <c r="R265" s="403"/>
      <c r="U265" s="534" t="s">
        <v>1190</v>
      </c>
      <c r="V265" s="236">
        <v>0.1</v>
      </c>
      <c r="W265" s="534" t="s">
        <v>0</v>
      </c>
    </row>
    <row r="266" spans="4:23">
      <c r="D266" s="31"/>
      <c r="E266" s="86"/>
      <c r="F266" s="86"/>
      <c r="G266" s="86"/>
      <c r="H266" s="86"/>
      <c r="I266" s="86"/>
      <c r="J266" s="86"/>
      <c r="K266" s="86"/>
      <c r="L266" s="86"/>
      <c r="M266" s="86"/>
      <c r="N266" s="86"/>
      <c r="O266" s="86"/>
      <c r="P266" s="86"/>
      <c r="Q266" s="86"/>
      <c r="R266" s="403"/>
    </row>
    <row r="267" spans="4:23">
      <c r="D267" s="31"/>
      <c r="E267" s="86" t="s">
        <v>200</v>
      </c>
      <c r="F267" s="86"/>
      <c r="G267" s="86"/>
      <c r="H267" s="86"/>
      <c r="I267" s="86"/>
      <c r="J267" s="86"/>
      <c r="K267" s="86"/>
      <c r="L267" s="86"/>
      <c r="M267" s="86"/>
      <c r="N267" s="86"/>
      <c r="O267" s="86"/>
      <c r="P267" s="86"/>
      <c r="Q267" s="86"/>
      <c r="R267" s="157">
        <f>ROUND((SUM(Q183:Q188))*V265,2)</f>
        <v>34.92</v>
      </c>
      <c r="S267" s="156" t="s">
        <v>18</v>
      </c>
    </row>
    <row r="268" spans="4:23">
      <c r="D268" s="31"/>
      <c r="E268" s="86"/>
      <c r="F268" s="86"/>
      <c r="G268" s="86"/>
      <c r="H268" s="86"/>
      <c r="I268" s="86"/>
      <c r="J268" s="86"/>
      <c r="K268" s="86"/>
      <c r="L268" s="86"/>
      <c r="M268" s="86"/>
      <c r="N268" s="86"/>
      <c r="O268" s="86"/>
      <c r="P268" s="86"/>
      <c r="Q268" s="86"/>
      <c r="R268" s="403"/>
    </row>
    <row r="269" spans="4:23">
      <c r="D269" s="31"/>
      <c r="E269" s="86"/>
      <c r="F269" s="86"/>
      <c r="G269" s="86"/>
      <c r="H269" s="86"/>
      <c r="I269" s="86"/>
      <c r="J269" s="86"/>
      <c r="K269" s="86"/>
      <c r="L269" s="86"/>
      <c r="M269" s="86"/>
      <c r="N269" s="86"/>
      <c r="O269" s="86"/>
      <c r="P269" s="86"/>
      <c r="Q269" s="86"/>
      <c r="R269" s="403"/>
    </row>
    <row r="270" spans="4:23">
      <c r="D270" s="31" t="s">
        <v>440</v>
      </c>
      <c r="E270" s="86" t="s">
        <v>1399</v>
      </c>
      <c r="F270" s="179"/>
      <c r="G270" s="179"/>
      <c r="H270" s="179"/>
      <c r="I270" s="179"/>
      <c r="J270" s="179"/>
      <c r="K270" s="179"/>
      <c r="L270" s="179"/>
      <c r="M270" s="179"/>
      <c r="N270" s="179"/>
      <c r="O270" s="179"/>
      <c r="P270" s="179"/>
      <c r="Q270" s="9"/>
      <c r="R270" s="403"/>
    </row>
    <row r="271" spans="4:23">
      <c r="D271" s="31"/>
      <c r="E271" s="10"/>
      <c r="F271" s="10"/>
      <c r="G271" s="10"/>
      <c r="H271" s="10"/>
      <c r="I271" s="10"/>
      <c r="J271" s="10"/>
      <c r="K271" s="10"/>
      <c r="L271" s="10"/>
      <c r="M271" s="10"/>
      <c r="N271" s="10"/>
      <c r="O271" s="10"/>
      <c r="P271" s="10"/>
      <c r="Q271" s="10"/>
      <c r="R271" s="403"/>
      <c r="U271" s="534" t="s">
        <v>1398</v>
      </c>
      <c r="W271" s="534"/>
    </row>
    <row r="272" spans="4:23">
      <c r="D272" s="31"/>
      <c r="E272" s="974" t="s">
        <v>1257</v>
      </c>
      <c r="F272" s="975"/>
      <c r="G272" s="975"/>
      <c r="H272" s="975"/>
      <c r="I272" s="975"/>
      <c r="J272" s="975"/>
      <c r="K272" s="975"/>
      <c r="L272" s="975"/>
      <c r="M272" s="975"/>
      <c r="N272" s="975"/>
      <c r="O272" s="975"/>
      <c r="P272" s="975"/>
      <c r="Q272" s="976"/>
      <c r="R272" s="157">
        <f>SUM(S183:S188)-U272</f>
        <v>542.96877603867586</v>
      </c>
      <c r="S272" s="156" t="s">
        <v>18</v>
      </c>
      <c r="U272" s="535">
        <f>SUM(U183:U188)</f>
        <v>7.0212239613241687</v>
      </c>
      <c r="V272" s="534" t="s">
        <v>18</v>
      </c>
    </row>
    <row r="273" spans="4:23">
      <c r="D273" s="31"/>
      <c r="E273" s="86"/>
      <c r="F273" s="86"/>
      <c r="G273" s="86"/>
      <c r="H273" s="86"/>
      <c r="I273" s="86"/>
      <c r="J273" s="86"/>
      <c r="K273" s="86"/>
      <c r="L273" s="86"/>
      <c r="M273" s="86"/>
      <c r="N273" s="86"/>
      <c r="O273" s="86"/>
      <c r="P273" s="86"/>
      <c r="Q273" s="86"/>
      <c r="R273" s="403"/>
    </row>
    <row r="274" spans="4:23">
      <c r="D274" s="31"/>
      <c r="E274" s="86"/>
      <c r="F274" s="86"/>
      <c r="G274" s="86"/>
      <c r="H274" s="86"/>
      <c r="I274" s="86"/>
      <c r="J274" s="86"/>
      <c r="K274" s="86"/>
      <c r="L274" s="86"/>
      <c r="M274" s="86"/>
      <c r="N274" s="86"/>
      <c r="O274" s="86"/>
      <c r="P274" s="86"/>
      <c r="Q274" s="86"/>
      <c r="R274" s="403"/>
    </row>
    <row r="275" spans="4:23">
      <c r="D275" s="31" t="s">
        <v>441</v>
      </c>
      <c r="E275" s="86" t="s">
        <v>96</v>
      </c>
      <c r="F275" s="86"/>
      <c r="G275" s="86"/>
      <c r="H275" s="86"/>
      <c r="I275" s="86"/>
      <c r="J275" s="86"/>
      <c r="K275" s="86"/>
      <c r="L275" s="86"/>
      <c r="M275" s="86"/>
      <c r="N275" s="86"/>
      <c r="O275" s="86"/>
      <c r="P275" s="86"/>
      <c r="Q275" s="86"/>
      <c r="R275" s="403"/>
    </row>
    <row r="276" spans="4:23">
      <c r="D276" s="31"/>
      <c r="E276" s="86"/>
      <c r="F276" s="86"/>
      <c r="G276" s="86"/>
      <c r="H276" s="86"/>
      <c r="I276" s="86"/>
      <c r="J276" s="86"/>
      <c r="K276" s="86"/>
      <c r="L276" s="86"/>
      <c r="M276" s="86"/>
      <c r="N276" s="86"/>
      <c r="O276" s="86"/>
      <c r="P276" s="86"/>
      <c r="Q276" s="86"/>
      <c r="R276" s="403"/>
      <c r="U276" s="534" t="s">
        <v>1191</v>
      </c>
      <c r="V276" s="236">
        <v>0.15</v>
      </c>
      <c r="W276" s="534" t="s">
        <v>0</v>
      </c>
    </row>
    <row r="277" spans="4:23">
      <c r="D277" s="31"/>
      <c r="E277" s="86" t="s">
        <v>201</v>
      </c>
      <c r="F277" s="86"/>
      <c r="G277" s="86"/>
      <c r="H277" s="86"/>
      <c r="I277" s="86"/>
      <c r="J277" s="86"/>
      <c r="K277" s="86"/>
      <c r="L277" s="86"/>
      <c r="M277" s="86"/>
      <c r="N277" s="86"/>
      <c r="O277" s="86"/>
      <c r="P277" s="86"/>
      <c r="Q277" s="86"/>
      <c r="R277" s="157">
        <f>ROUND((SUM(Q183:Q188))*V276,2)</f>
        <v>52.38</v>
      </c>
      <c r="S277" s="156" t="s">
        <v>18</v>
      </c>
    </row>
    <row r="278" spans="4:23">
      <c r="D278" s="31"/>
      <c r="E278" s="86"/>
      <c r="F278" s="86"/>
      <c r="G278" s="86"/>
      <c r="H278" s="86"/>
      <c r="I278" s="86"/>
      <c r="J278" s="86"/>
      <c r="K278" s="86"/>
      <c r="L278" s="86"/>
      <c r="M278" s="86"/>
      <c r="N278" s="86"/>
      <c r="O278" s="86"/>
      <c r="P278" s="86"/>
      <c r="Q278" s="86"/>
      <c r="R278" s="403"/>
    </row>
    <row r="279" spans="4:23">
      <c r="D279" s="31"/>
      <c r="E279" s="86"/>
      <c r="F279" s="86"/>
      <c r="G279" s="86"/>
      <c r="H279" s="86"/>
      <c r="I279" s="86"/>
      <c r="J279" s="86"/>
      <c r="K279" s="86"/>
      <c r="L279" s="86"/>
      <c r="M279" s="86"/>
      <c r="N279" s="86"/>
      <c r="O279" s="86"/>
      <c r="P279" s="86"/>
      <c r="Q279" s="86"/>
      <c r="R279" s="403"/>
    </row>
    <row r="280" spans="4:23">
      <c r="D280" s="31" t="s">
        <v>442</v>
      </c>
      <c r="E280" s="86" t="s">
        <v>24</v>
      </c>
      <c r="F280" s="86"/>
      <c r="G280" s="86"/>
      <c r="H280" s="86"/>
      <c r="I280" s="86"/>
      <c r="J280" s="86"/>
      <c r="K280" s="86"/>
      <c r="L280" s="86"/>
      <c r="M280" s="86"/>
      <c r="N280" s="86"/>
      <c r="O280" s="86"/>
      <c r="P280" s="86"/>
      <c r="Q280" s="86"/>
      <c r="R280" s="403"/>
    </row>
    <row r="281" spans="4:23">
      <c r="D281" s="31"/>
      <c r="E281" s="86"/>
      <c r="F281" s="86"/>
      <c r="G281" s="86"/>
      <c r="H281" s="86"/>
      <c r="I281" s="86"/>
      <c r="J281" s="86"/>
      <c r="K281" s="86"/>
      <c r="L281" s="86"/>
      <c r="M281" s="86"/>
      <c r="N281" s="86"/>
      <c r="O281" s="86"/>
      <c r="P281" s="86"/>
      <c r="Q281" s="86"/>
      <c r="R281" s="403"/>
    </row>
    <row r="282" spans="4:23">
      <c r="D282" s="31"/>
      <c r="E282" s="86" t="s">
        <v>202</v>
      </c>
      <c r="F282" s="86"/>
      <c r="G282" s="86"/>
      <c r="H282" s="86"/>
      <c r="I282" s="86"/>
      <c r="J282" s="86"/>
      <c r="K282" s="86"/>
      <c r="L282" s="86"/>
      <c r="M282" s="86"/>
      <c r="N282" s="86"/>
      <c r="O282" s="86"/>
      <c r="P282" s="86"/>
      <c r="Q282" s="86"/>
      <c r="R282" s="159">
        <f>ROUND(SUM(O183:O188),2)</f>
        <v>465.6</v>
      </c>
      <c r="S282" s="156" t="s">
        <v>17</v>
      </c>
    </row>
    <row r="283" spans="4:23">
      <c r="D283" s="31"/>
      <c r="E283" s="86"/>
      <c r="F283" s="86"/>
      <c r="G283" s="86"/>
      <c r="H283" s="86"/>
      <c r="I283" s="86"/>
      <c r="J283" s="86"/>
      <c r="K283" s="86"/>
      <c r="L283" s="86"/>
      <c r="M283" s="86"/>
      <c r="N283" s="86"/>
      <c r="O283" s="86"/>
      <c r="P283" s="86"/>
      <c r="Q283" s="86"/>
      <c r="R283" s="403"/>
    </row>
    <row r="284" spans="4:23">
      <c r="D284" s="31"/>
      <c r="E284" s="86"/>
      <c r="F284" s="86"/>
      <c r="G284" s="86"/>
      <c r="H284" s="86"/>
      <c r="I284" s="86"/>
      <c r="J284" s="86"/>
      <c r="K284" s="86"/>
      <c r="L284" s="86"/>
      <c r="M284" s="86"/>
      <c r="N284" s="86"/>
      <c r="O284" s="86"/>
      <c r="P284" s="86"/>
      <c r="Q284" s="86"/>
      <c r="R284" s="403"/>
    </row>
    <row r="285" spans="4:23">
      <c r="D285" s="31" t="s">
        <v>443</v>
      </c>
      <c r="E285" s="86" t="s">
        <v>353</v>
      </c>
      <c r="F285" s="86"/>
      <c r="G285" s="86"/>
      <c r="H285" s="86"/>
      <c r="I285" s="86"/>
      <c r="J285" s="86"/>
      <c r="K285" s="86"/>
      <c r="L285" s="86"/>
      <c r="M285" s="86"/>
      <c r="N285" s="86"/>
      <c r="O285" s="86"/>
      <c r="P285" s="86"/>
      <c r="Q285" s="86"/>
      <c r="R285" s="403"/>
    </row>
    <row r="286" spans="4:23">
      <c r="D286" s="31"/>
      <c r="E286" s="86"/>
      <c r="F286" s="86"/>
      <c r="G286" s="86"/>
      <c r="H286" s="86"/>
      <c r="I286" s="86"/>
      <c r="J286" s="86"/>
      <c r="K286" s="86"/>
      <c r="L286" s="86"/>
      <c r="M286" s="86"/>
      <c r="N286" s="86"/>
      <c r="O286" s="86"/>
      <c r="P286" s="86"/>
      <c r="Q286" s="86"/>
      <c r="R286" s="403"/>
      <c r="U286" s="472" t="s">
        <v>1192</v>
      </c>
    </row>
    <row r="287" spans="4:23">
      <c r="D287" s="31"/>
      <c r="E287" s="86" t="s">
        <v>1193</v>
      </c>
      <c r="F287" s="86"/>
      <c r="G287" s="86"/>
      <c r="H287" s="86"/>
      <c r="I287" s="86"/>
      <c r="J287" s="86"/>
      <c r="K287" s="86"/>
      <c r="L287" s="86"/>
      <c r="M287" s="86"/>
      <c r="N287" s="86"/>
      <c r="O287" s="86"/>
      <c r="P287" s="86"/>
      <c r="Q287" s="86"/>
      <c r="R287" s="157">
        <f>ROUND(SUM(O183:O188)*U287,2)</f>
        <v>23.28</v>
      </c>
      <c r="S287" s="156" t="s">
        <v>18</v>
      </c>
      <c r="U287" s="317">
        <v>0.05</v>
      </c>
      <c r="V287" s="472" t="s">
        <v>0</v>
      </c>
    </row>
    <row r="288" spans="4:23">
      <c r="D288" s="31"/>
      <c r="E288" s="86"/>
      <c r="F288" s="86"/>
      <c r="G288" s="86"/>
      <c r="H288" s="86"/>
      <c r="I288" s="86"/>
      <c r="J288" s="86"/>
      <c r="K288" s="86"/>
      <c r="L288" s="86"/>
      <c r="M288" s="86"/>
      <c r="N288" s="86"/>
      <c r="O288" s="86"/>
      <c r="P288" s="86"/>
      <c r="Q288" s="86"/>
      <c r="R288" s="158"/>
      <c r="S288" s="403"/>
    </row>
    <row r="289" spans="3:22">
      <c r="D289" s="31"/>
      <c r="E289" s="86"/>
      <c r="F289" s="86"/>
      <c r="G289" s="86"/>
      <c r="H289" s="86"/>
      <c r="I289" s="86"/>
      <c r="J289" s="86"/>
      <c r="K289" s="86"/>
      <c r="L289" s="86"/>
      <c r="M289" s="86"/>
      <c r="N289" s="86"/>
      <c r="O289" s="86"/>
      <c r="P289" s="86"/>
      <c r="Q289" s="86"/>
      <c r="R289" s="158"/>
      <c r="S289" s="403"/>
    </row>
    <row r="290" spans="3:22">
      <c r="C290" s="205" t="s">
        <v>444</v>
      </c>
      <c r="D290" s="176" t="s">
        <v>1189</v>
      </c>
      <c r="E290" s="177"/>
      <c r="F290" s="177"/>
      <c r="G290" s="177"/>
      <c r="H290" s="177"/>
      <c r="I290" s="177"/>
      <c r="J290" s="177"/>
      <c r="K290" s="177"/>
      <c r="L290" s="177"/>
      <c r="M290" s="177"/>
      <c r="N290" s="177"/>
      <c r="O290" s="177"/>
      <c r="P290" s="177"/>
      <c r="Q290" s="177"/>
      <c r="R290" s="177"/>
      <c r="S290" s="177"/>
      <c r="T290" s="177"/>
      <c r="U290" s="177"/>
      <c r="V290" s="178"/>
    </row>
    <row r="291" spans="3:22">
      <c r="D291" s="174"/>
      <c r="E291" s="174"/>
      <c r="F291" s="174"/>
      <c r="G291" s="174"/>
      <c r="H291" s="174"/>
      <c r="I291" s="174"/>
      <c r="J291" s="174"/>
      <c r="K291" s="174"/>
      <c r="L291" s="174"/>
      <c r="M291" s="174"/>
      <c r="N291" s="174"/>
      <c r="O291" s="174"/>
      <c r="P291" s="174"/>
      <c r="Q291" s="174"/>
      <c r="R291" s="205"/>
      <c r="S291" s="205"/>
      <c r="T291" s="174"/>
      <c r="U291" s="174"/>
      <c r="V291" s="174"/>
    </row>
    <row r="292" spans="3:22">
      <c r="D292" s="31" t="s">
        <v>445</v>
      </c>
      <c r="E292" s="86" t="s">
        <v>21</v>
      </c>
      <c r="F292" s="86"/>
      <c r="G292" s="86"/>
      <c r="H292" s="86"/>
      <c r="I292" s="86"/>
      <c r="J292" s="86"/>
      <c r="K292" s="86"/>
      <c r="L292" s="86"/>
      <c r="M292" s="86"/>
      <c r="N292" s="86"/>
      <c r="O292" s="86"/>
      <c r="P292" s="86"/>
      <c r="Q292" s="86"/>
      <c r="R292" s="158"/>
      <c r="S292" s="403"/>
    </row>
    <row r="293" spans="3:22">
      <c r="D293" s="31"/>
      <c r="E293" s="86"/>
      <c r="F293" s="86"/>
      <c r="G293" s="86"/>
      <c r="H293" s="86"/>
      <c r="I293" s="86"/>
      <c r="J293" s="86"/>
      <c r="K293" s="86"/>
      <c r="L293" s="86"/>
      <c r="M293" s="86"/>
      <c r="N293" s="86"/>
      <c r="O293" s="86"/>
      <c r="P293" s="86"/>
      <c r="Q293" s="86"/>
      <c r="R293" s="158"/>
      <c r="S293" s="403"/>
    </row>
    <row r="294" spans="3:22">
      <c r="D294" s="31"/>
      <c r="E294" s="974" t="s">
        <v>31</v>
      </c>
      <c r="F294" s="975"/>
      <c r="G294" s="975"/>
      <c r="H294" s="975"/>
      <c r="I294" s="975"/>
      <c r="J294" s="975"/>
      <c r="K294" s="975"/>
      <c r="L294" s="975"/>
      <c r="M294" s="975"/>
      <c r="N294" s="975"/>
      <c r="O294" s="975"/>
      <c r="P294" s="975"/>
      <c r="Q294" s="976"/>
      <c r="R294" s="160"/>
      <c r="S294" s="197"/>
    </row>
    <row r="295" spans="3:22">
      <c r="D295" s="31"/>
      <c r="E295" s="974" t="s">
        <v>138</v>
      </c>
      <c r="F295" s="975"/>
      <c r="G295" s="975"/>
      <c r="H295" s="975"/>
      <c r="I295" s="975"/>
      <c r="J295" s="975"/>
      <c r="K295" s="975"/>
      <c r="L295" s="975"/>
      <c r="M295" s="975"/>
      <c r="N295" s="975"/>
      <c r="O295" s="975"/>
      <c r="P295" s="975"/>
      <c r="Q295" s="978"/>
      <c r="R295" s="157">
        <f>ROUND(I193*(2*K193+2*M193),2)</f>
        <v>56</v>
      </c>
      <c r="S295" s="156" t="s">
        <v>0</v>
      </c>
    </row>
    <row r="296" spans="3:22">
      <c r="D296" s="31"/>
      <c r="E296" s="123"/>
      <c r="F296" s="123"/>
      <c r="G296" s="123"/>
      <c r="H296" s="123"/>
      <c r="I296" s="123"/>
      <c r="J296" s="123"/>
      <c r="K296" s="123"/>
      <c r="L296" s="123"/>
      <c r="M296" s="123"/>
      <c r="N296" s="123"/>
      <c r="O296" s="123"/>
      <c r="P296" s="123"/>
      <c r="Q296" s="123"/>
      <c r="R296" s="158"/>
      <c r="S296" s="403"/>
    </row>
    <row r="297" spans="3:22">
      <c r="D297" s="31"/>
      <c r="E297" s="86"/>
      <c r="F297" s="86"/>
      <c r="G297" s="86"/>
      <c r="H297" s="86"/>
      <c r="I297" s="86"/>
      <c r="J297" s="86"/>
      <c r="K297" s="86"/>
      <c r="L297" s="86"/>
      <c r="M297" s="86"/>
      <c r="N297" s="86"/>
      <c r="O297" s="86"/>
      <c r="P297" s="86"/>
      <c r="Q297" s="86"/>
      <c r="R297" s="158"/>
      <c r="S297" s="403"/>
    </row>
    <row r="298" spans="3:22">
      <c r="D298" s="31" t="s">
        <v>446</v>
      </c>
      <c r="E298" s="86" t="s">
        <v>22</v>
      </c>
      <c r="F298" s="86"/>
      <c r="G298" s="86"/>
      <c r="H298" s="86"/>
      <c r="I298" s="86"/>
      <c r="J298" s="86"/>
      <c r="K298" s="86"/>
      <c r="L298" s="86"/>
      <c r="M298" s="86"/>
      <c r="N298" s="86"/>
      <c r="O298" s="86"/>
      <c r="P298" s="86"/>
      <c r="Q298" s="86"/>
      <c r="R298" s="158"/>
      <c r="S298" s="403"/>
    </row>
    <row r="299" spans="3:22" ht="9.75" customHeight="1">
      <c r="D299" s="31"/>
      <c r="E299" s="86"/>
      <c r="F299" s="86"/>
      <c r="G299" s="86"/>
      <c r="H299" s="86"/>
      <c r="I299" s="86"/>
      <c r="J299" s="86"/>
      <c r="K299" s="86"/>
      <c r="L299" s="86"/>
      <c r="M299" s="86"/>
      <c r="N299" s="86"/>
      <c r="O299" s="86"/>
      <c r="P299" s="86"/>
      <c r="Q299" s="86"/>
      <c r="R299" s="158"/>
      <c r="S299" s="403"/>
    </row>
    <row r="300" spans="3:22">
      <c r="D300" s="31"/>
      <c r="E300" s="974" t="s">
        <v>32</v>
      </c>
      <c r="F300" s="975"/>
      <c r="G300" s="975"/>
      <c r="H300" s="975"/>
      <c r="I300" s="975"/>
      <c r="J300" s="975"/>
      <c r="K300" s="975"/>
      <c r="L300" s="975"/>
      <c r="M300" s="975"/>
      <c r="N300" s="975"/>
      <c r="O300" s="975"/>
      <c r="P300" s="975"/>
      <c r="Q300" s="976"/>
      <c r="R300" s="161"/>
      <c r="S300" s="11"/>
    </row>
    <row r="301" spans="3:22">
      <c r="D301" s="31"/>
      <c r="E301" s="974" t="s">
        <v>139</v>
      </c>
      <c r="F301" s="975"/>
      <c r="G301" s="975"/>
      <c r="H301" s="975"/>
      <c r="I301" s="975"/>
      <c r="J301" s="975"/>
      <c r="K301" s="975"/>
      <c r="L301" s="975"/>
      <c r="M301" s="975"/>
      <c r="N301" s="975"/>
      <c r="O301" s="975"/>
      <c r="P301" s="975"/>
      <c r="Q301" s="978"/>
      <c r="R301" s="157">
        <f>Q193</f>
        <v>28</v>
      </c>
      <c r="S301" s="156" t="s">
        <v>17</v>
      </c>
    </row>
    <row r="302" spans="3:22">
      <c r="D302" s="31"/>
      <c r="E302" s="123"/>
      <c r="F302" s="123"/>
      <c r="G302" s="123"/>
      <c r="H302" s="123"/>
      <c r="I302" s="123"/>
      <c r="J302" s="123"/>
      <c r="K302" s="123"/>
      <c r="L302" s="123"/>
      <c r="M302" s="123"/>
      <c r="N302" s="123"/>
      <c r="O302" s="123"/>
      <c r="P302" s="123"/>
      <c r="Q302" s="123"/>
      <c r="R302" s="158"/>
      <c r="S302" s="403"/>
    </row>
    <row r="303" spans="3:22">
      <c r="D303" s="31"/>
      <c r="E303" s="86"/>
      <c r="F303" s="86"/>
      <c r="G303" s="86"/>
      <c r="H303" s="86"/>
      <c r="I303" s="86"/>
      <c r="J303" s="86"/>
      <c r="K303" s="86"/>
      <c r="L303" s="86"/>
      <c r="M303" s="86"/>
      <c r="N303" s="86"/>
      <c r="O303" s="86"/>
      <c r="P303" s="86"/>
      <c r="Q303" s="86"/>
      <c r="R303" s="158"/>
      <c r="S303" s="403"/>
    </row>
    <row r="304" spans="3:22">
      <c r="D304" s="31" t="s">
        <v>447</v>
      </c>
      <c r="E304" s="86" t="s">
        <v>23</v>
      </c>
      <c r="F304" s="86"/>
      <c r="G304" s="86"/>
      <c r="H304" s="86"/>
      <c r="I304" s="86"/>
      <c r="J304" s="86"/>
      <c r="K304" s="86"/>
      <c r="L304" s="86"/>
      <c r="M304" s="86"/>
      <c r="N304" s="86"/>
      <c r="O304" s="86"/>
      <c r="P304" s="86"/>
      <c r="Q304" s="86"/>
      <c r="R304" s="158"/>
      <c r="S304" s="403"/>
    </row>
    <row r="305" spans="4:22" ht="9" customHeight="1">
      <c r="D305" s="31"/>
      <c r="E305" s="86"/>
      <c r="F305" s="86"/>
      <c r="G305" s="86"/>
      <c r="H305" s="86"/>
      <c r="I305" s="86"/>
      <c r="J305" s="86"/>
      <c r="K305" s="86"/>
      <c r="L305" s="86"/>
      <c r="M305" s="86"/>
      <c r="N305" s="86"/>
      <c r="O305" s="86"/>
      <c r="P305" s="86"/>
      <c r="Q305" s="86"/>
      <c r="R305" s="158"/>
      <c r="S305" s="403"/>
    </row>
    <row r="306" spans="4:22" ht="12.75" customHeight="1">
      <c r="D306" s="31"/>
      <c r="E306" s="986" t="s">
        <v>1195</v>
      </c>
      <c r="F306" s="987"/>
      <c r="G306" s="987"/>
      <c r="H306" s="987"/>
      <c r="I306" s="987"/>
      <c r="J306" s="987"/>
      <c r="K306" s="987"/>
      <c r="L306" s="987"/>
      <c r="M306" s="987"/>
      <c r="N306" s="987"/>
      <c r="O306" s="987"/>
      <c r="P306" s="987"/>
      <c r="Q306" s="988"/>
      <c r="R306" s="157">
        <f>ROUND((R301*0.05),2)</f>
        <v>1.4</v>
      </c>
      <c r="S306" s="156" t="s">
        <v>18</v>
      </c>
      <c r="U306" s="472"/>
      <c r="V306" s="473"/>
    </row>
    <row r="307" spans="4:22">
      <c r="D307" s="31"/>
      <c r="E307" s="86"/>
      <c r="F307" s="86"/>
      <c r="G307" s="86"/>
      <c r="H307" s="86"/>
      <c r="I307" s="86"/>
      <c r="J307" s="86"/>
      <c r="K307" s="86"/>
      <c r="L307" s="86"/>
      <c r="M307" s="86"/>
      <c r="N307" s="86"/>
      <c r="O307" s="86"/>
      <c r="P307" s="86"/>
      <c r="Q307" s="86"/>
      <c r="R307" s="158"/>
      <c r="S307" s="403"/>
    </row>
    <row r="308" spans="4:22">
      <c r="D308" s="31"/>
      <c r="E308" s="86"/>
      <c r="F308" s="86"/>
      <c r="G308" s="86"/>
      <c r="H308" s="86"/>
      <c r="I308" s="86"/>
      <c r="J308" s="86"/>
      <c r="K308" s="86"/>
      <c r="L308" s="86"/>
      <c r="M308" s="86"/>
      <c r="N308" s="86"/>
      <c r="O308" s="86"/>
      <c r="P308" s="86"/>
      <c r="Q308" s="86"/>
      <c r="R308" s="158"/>
      <c r="S308" s="403"/>
    </row>
    <row r="309" spans="4:22" ht="39" customHeight="1">
      <c r="D309" s="31" t="s">
        <v>448</v>
      </c>
      <c r="E309" s="86" t="s">
        <v>178</v>
      </c>
      <c r="F309" s="531"/>
      <c r="G309" s="531"/>
      <c r="H309" s="531"/>
      <c r="I309" s="531"/>
      <c r="J309" s="531"/>
      <c r="K309" s="531"/>
      <c r="L309" s="531"/>
      <c r="M309" s="531"/>
      <c r="N309" s="531"/>
      <c r="O309" s="531"/>
      <c r="P309" s="86"/>
      <c r="Q309" s="86"/>
      <c r="R309" s="158"/>
      <c r="S309" s="403"/>
    </row>
    <row r="310" spans="4:22" ht="9.75" customHeight="1">
      <c r="D310" s="31"/>
      <c r="E310" s="86"/>
      <c r="F310" s="86"/>
      <c r="G310" s="86"/>
      <c r="H310" s="86"/>
      <c r="I310" s="86"/>
      <c r="J310" s="86"/>
      <c r="K310" s="86"/>
      <c r="L310" s="86"/>
      <c r="M310" s="86"/>
      <c r="N310" s="86"/>
      <c r="O310" s="86"/>
      <c r="P310" s="86"/>
      <c r="Q310" s="86"/>
      <c r="R310" s="158"/>
      <c r="S310" s="403"/>
    </row>
    <row r="311" spans="4:22">
      <c r="D311" s="31"/>
      <c r="E311" s="979" t="s">
        <v>177</v>
      </c>
      <c r="F311" s="980"/>
      <c r="G311" s="980"/>
      <c r="H311" s="980"/>
      <c r="I311" s="980"/>
      <c r="J311" s="980"/>
      <c r="K311" s="980"/>
      <c r="L311" s="980"/>
      <c r="M311" s="980"/>
      <c r="N311" s="980"/>
      <c r="O311" s="980"/>
      <c r="P311" s="980"/>
      <c r="Q311" s="981"/>
      <c r="R311" s="157">
        <f>($I$193*10)*T311</f>
        <v>56</v>
      </c>
      <c r="S311" s="156" t="s">
        <v>179</v>
      </c>
      <c r="T311" s="170">
        <v>0.8</v>
      </c>
    </row>
    <row r="312" spans="4:22">
      <c r="D312" s="31"/>
      <c r="E312" s="86"/>
      <c r="F312" s="86"/>
      <c r="G312" s="86"/>
      <c r="H312" s="86"/>
      <c r="I312" s="86"/>
      <c r="J312" s="86"/>
      <c r="K312" s="86"/>
      <c r="L312" s="86"/>
      <c r="M312" s="86"/>
      <c r="N312" s="86"/>
      <c r="O312" s="86"/>
      <c r="P312" s="86"/>
      <c r="Q312" s="86"/>
      <c r="R312" s="158"/>
      <c r="S312" s="403"/>
    </row>
    <row r="313" spans="4:22">
      <c r="D313" s="31"/>
      <c r="E313" s="86"/>
      <c r="F313" s="86"/>
      <c r="G313" s="86"/>
      <c r="H313" s="86"/>
      <c r="I313" s="86"/>
      <c r="J313" s="86"/>
      <c r="K313" s="86"/>
      <c r="L313" s="86"/>
      <c r="M313" s="86"/>
      <c r="N313" s="86"/>
      <c r="O313" s="86"/>
      <c r="P313" s="86"/>
      <c r="Q313" s="86"/>
      <c r="R313" s="158"/>
      <c r="S313" s="403"/>
    </row>
    <row r="314" spans="4:22" ht="34.5" customHeight="1">
      <c r="D314" s="31" t="s">
        <v>449</v>
      </c>
      <c r="E314" s="86" t="s">
        <v>178</v>
      </c>
      <c r="F314" s="531"/>
      <c r="G314" s="531"/>
      <c r="H314" s="531"/>
      <c r="I314" s="531"/>
      <c r="J314" s="531"/>
      <c r="K314" s="531"/>
      <c r="L314" s="531"/>
      <c r="M314" s="531"/>
      <c r="N314" s="531"/>
      <c r="O314" s="531"/>
      <c r="P314" s="86"/>
      <c r="Q314" s="86"/>
      <c r="R314" s="158"/>
      <c r="S314" s="403"/>
    </row>
    <row r="315" spans="4:22">
      <c r="D315" s="31"/>
      <c r="E315" s="86"/>
      <c r="F315" s="86"/>
      <c r="G315" s="86"/>
      <c r="H315" s="86"/>
      <c r="I315" s="86"/>
      <c r="J315" s="86"/>
      <c r="K315" s="86"/>
      <c r="L315" s="86"/>
      <c r="M315" s="86"/>
      <c r="N315" s="86"/>
      <c r="O315" s="86"/>
      <c r="P315" s="86"/>
      <c r="Q315" s="86"/>
      <c r="R315" s="158"/>
      <c r="S315" s="403"/>
    </row>
    <row r="316" spans="4:22">
      <c r="D316" s="31"/>
      <c r="E316" s="979" t="s">
        <v>177</v>
      </c>
      <c r="F316" s="980"/>
      <c r="G316" s="980"/>
      <c r="H316" s="980"/>
      <c r="I316" s="980"/>
      <c r="J316" s="980"/>
      <c r="K316" s="980"/>
      <c r="L316" s="980"/>
      <c r="M316" s="980"/>
      <c r="N316" s="980"/>
      <c r="O316" s="980"/>
      <c r="P316" s="980"/>
      <c r="Q316" s="981"/>
      <c r="R316" s="157">
        <f>($I$193*10)*T316</f>
        <v>14</v>
      </c>
      <c r="S316" s="156" t="s">
        <v>180</v>
      </c>
      <c r="T316" s="170">
        <v>0.2</v>
      </c>
    </row>
    <row r="317" spans="4:22">
      <c r="D317" s="31"/>
      <c r="E317" s="537"/>
      <c r="F317" s="537"/>
      <c r="G317" s="537"/>
      <c r="H317" s="537"/>
      <c r="I317" s="537"/>
      <c r="J317" s="537"/>
      <c r="K317" s="537"/>
      <c r="L317" s="537"/>
      <c r="M317" s="537"/>
      <c r="N317" s="537"/>
      <c r="O317" s="537"/>
      <c r="P317" s="537"/>
      <c r="Q317" s="537"/>
      <c r="R317" s="158"/>
      <c r="S317" s="403"/>
      <c r="T317" s="170"/>
    </row>
    <row r="318" spans="4:22">
      <c r="D318" s="31"/>
      <c r="E318" s="537"/>
      <c r="F318" s="537"/>
      <c r="G318" s="537"/>
      <c r="H318" s="537"/>
      <c r="I318" s="537"/>
      <c r="J318" s="537"/>
      <c r="K318" s="537"/>
      <c r="L318" s="537"/>
      <c r="M318" s="537"/>
      <c r="N318" s="537"/>
      <c r="O318" s="537"/>
      <c r="P318" s="537"/>
      <c r="Q318" s="537"/>
      <c r="R318" s="158"/>
      <c r="S318" s="403"/>
      <c r="T318" s="170"/>
    </row>
    <row r="319" spans="4:22">
      <c r="D319" s="162" t="s">
        <v>450</v>
      </c>
      <c r="E319" s="86" t="s">
        <v>796</v>
      </c>
      <c r="F319" s="86"/>
      <c r="G319" s="86"/>
      <c r="H319" s="86"/>
      <c r="I319" s="86"/>
      <c r="J319" s="86"/>
      <c r="K319" s="86"/>
      <c r="L319" s="86"/>
      <c r="M319" s="86"/>
      <c r="N319" s="86"/>
      <c r="O319" s="86"/>
      <c r="P319" s="86"/>
      <c r="Q319" s="86"/>
      <c r="R319" s="403"/>
      <c r="T319" s="170"/>
    </row>
    <row r="320" spans="4:22">
      <c r="D320" s="31"/>
      <c r="E320" s="86"/>
      <c r="F320" s="86" t="s">
        <v>198</v>
      </c>
      <c r="G320" s="86"/>
      <c r="H320" s="86"/>
      <c r="I320" s="86"/>
      <c r="J320" s="86"/>
      <c r="K320" s="86"/>
      <c r="L320" s="86" t="s">
        <v>192</v>
      </c>
      <c r="M320" s="171">
        <v>0</v>
      </c>
      <c r="N320" s="172" t="s">
        <v>193</v>
      </c>
      <c r="O320" s="86"/>
      <c r="P320" s="86"/>
      <c r="Q320" s="86"/>
      <c r="R320" s="403"/>
      <c r="T320" s="170"/>
    </row>
    <row r="321" spans="4:23">
      <c r="D321" s="31"/>
      <c r="E321" s="86"/>
      <c r="F321" s="86"/>
      <c r="G321" s="86"/>
      <c r="H321" s="86"/>
      <c r="I321" s="86"/>
      <c r="J321" s="86"/>
      <c r="K321" s="86"/>
      <c r="L321" s="86"/>
      <c r="M321" s="86"/>
      <c r="N321" s="86"/>
      <c r="O321" s="86"/>
      <c r="P321" s="86"/>
      <c r="Q321" s="86"/>
      <c r="R321" s="403"/>
      <c r="T321" s="170"/>
    </row>
    <row r="322" spans="4:23">
      <c r="D322" s="31"/>
      <c r="E322" s="86"/>
      <c r="F322" s="86" t="s">
        <v>199</v>
      </c>
      <c r="G322" s="86"/>
      <c r="H322" s="86"/>
      <c r="I322" s="86"/>
      <c r="J322" s="86"/>
      <c r="K322" s="86"/>
      <c r="L322" s="86" t="s">
        <v>192</v>
      </c>
      <c r="M322" s="536">
        <f>O193</f>
        <v>1.5</v>
      </c>
      <c r="N322" s="172" t="s">
        <v>0</v>
      </c>
      <c r="O322" s="86"/>
      <c r="P322" s="86"/>
      <c r="Q322" s="86"/>
      <c r="R322" s="403"/>
      <c r="T322" s="170"/>
    </row>
    <row r="323" spans="4:23">
      <c r="D323" s="31"/>
      <c r="E323" s="86"/>
      <c r="F323" s="86"/>
      <c r="G323" s="86"/>
      <c r="H323" s="86"/>
      <c r="I323" s="86"/>
      <c r="J323" s="86"/>
      <c r="K323" s="86"/>
      <c r="L323" s="86"/>
      <c r="M323" s="86"/>
      <c r="N323" s="86"/>
      <c r="O323" s="86"/>
      <c r="P323" s="86"/>
      <c r="Q323" s="86"/>
      <c r="R323" s="403"/>
      <c r="T323" s="170"/>
    </row>
    <row r="324" spans="4:23">
      <c r="D324" s="31"/>
      <c r="E324" s="86" t="s">
        <v>1337</v>
      </c>
      <c r="F324" s="86"/>
      <c r="G324" s="86"/>
      <c r="H324" s="86"/>
      <c r="I324" s="86"/>
      <c r="J324" s="86"/>
      <c r="K324" s="86"/>
      <c r="L324" s="86"/>
      <c r="M324" s="86"/>
      <c r="N324" s="86"/>
      <c r="O324" s="86"/>
      <c r="P324" s="86"/>
      <c r="Q324" s="86"/>
      <c r="R324" s="159">
        <f>(((K193*2+M193*2)*O193)*I193)</f>
        <v>84</v>
      </c>
      <c r="S324" s="156" t="s">
        <v>17</v>
      </c>
      <c r="T324" s="170"/>
    </row>
    <row r="325" spans="4:23">
      <c r="D325" s="31"/>
      <c r="E325" s="86"/>
      <c r="F325" s="86"/>
      <c r="G325" s="86"/>
      <c r="H325" s="86"/>
      <c r="I325" s="86"/>
      <c r="J325" s="86"/>
      <c r="K325" s="86"/>
      <c r="L325" s="86"/>
      <c r="M325" s="86"/>
      <c r="N325" s="86"/>
      <c r="O325" s="86"/>
      <c r="P325" s="86"/>
      <c r="Q325" s="86"/>
      <c r="R325" s="158"/>
      <c r="S325" s="403"/>
    </row>
    <row r="326" spans="4:23">
      <c r="D326" s="31"/>
      <c r="E326" s="86"/>
      <c r="F326" s="86"/>
      <c r="G326" s="86"/>
      <c r="H326" s="86"/>
      <c r="I326" s="86"/>
      <c r="J326" s="86"/>
      <c r="K326" s="86"/>
      <c r="L326" s="86"/>
      <c r="M326" s="86"/>
      <c r="N326" s="86"/>
      <c r="O326" s="86"/>
      <c r="P326" s="86"/>
      <c r="Q326" s="86"/>
      <c r="R326" s="158"/>
      <c r="S326" s="403"/>
    </row>
    <row r="327" spans="4:23">
      <c r="D327" s="31" t="s">
        <v>451</v>
      </c>
      <c r="E327" s="86" t="s">
        <v>1399</v>
      </c>
      <c r="F327" s="179"/>
      <c r="G327" s="179"/>
      <c r="H327" s="179"/>
      <c r="I327" s="179"/>
      <c r="J327" s="179"/>
      <c r="K327" s="179"/>
      <c r="L327" s="179"/>
      <c r="M327" s="179"/>
      <c r="N327" s="179"/>
      <c r="O327" s="179"/>
      <c r="P327" s="179"/>
      <c r="Q327" s="9"/>
      <c r="R327" s="158"/>
      <c r="S327" s="403"/>
      <c r="U327" s="522"/>
    </row>
    <row r="328" spans="4:23">
      <c r="D328" s="31"/>
      <c r="E328" s="10"/>
      <c r="F328" s="10"/>
      <c r="G328" s="10"/>
      <c r="H328" s="10"/>
      <c r="I328" s="10"/>
      <c r="J328" s="10"/>
      <c r="K328" s="10"/>
      <c r="L328" s="10"/>
      <c r="M328" s="10"/>
      <c r="N328" s="10"/>
      <c r="O328" s="10"/>
      <c r="P328" s="10"/>
      <c r="Q328" s="10"/>
      <c r="R328" s="403"/>
    </row>
    <row r="329" spans="4:23" ht="12" customHeight="1">
      <c r="D329" s="31"/>
      <c r="E329" s="974" t="s">
        <v>1400</v>
      </c>
      <c r="F329" s="975"/>
      <c r="G329" s="975"/>
      <c r="H329" s="975"/>
      <c r="I329" s="975"/>
      <c r="J329" s="975"/>
      <c r="K329" s="975"/>
      <c r="L329" s="975"/>
      <c r="M329" s="975"/>
      <c r="N329" s="975"/>
      <c r="O329" s="975"/>
      <c r="P329" s="975"/>
      <c r="Q329" s="976"/>
      <c r="R329" s="157">
        <f>Q193*O193</f>
        <v>42</v>
      </c>
      <c r="S329" s="156" t="str">
        <f>'Planilha Orçamentária'!D131</f>
        <v>m³</v>
      </c>
    </row>
    <row r="330" spans="4:23">
      <c r="D330" s="31"/>
      <c r="E330" s="123"/>
      <c r="F330" s="123"/>
      <c r="G330" s="123"/>
      <c r="H330" s="123"/>
      <c r="I330" s="123"/>
      <c r="J330" s="123"/>
      <c r="K330" s="123"/>
      <c r="L330" s="123"/>
      <c r="M330" s="123"/>
      <c r="N330" s="123"/>
      <c r="O330" s="123"/>
      <c r="P330" s="123"/>
      <c r="Q330" s="123"/>
      <c r="R330" s="158"/>
      <c r="S330" s="403"/>
      <c r="U330" s="522"/>
      <c r="V330" s="236"/>
      <c r="W330" s="472"/>
    </row>
    <row r="331" spans="4:23">
      <c r="D331" s="31"/>
      <c r="E331" s="86"/>
      <c r="F331" s="86"/>
      <c r="G331" s="86"/>
      <c r="H331" s="86"/>
      <c r="I331" s="86"/>
      <c r="J331" s="86"/>
      <c r="K331" s="86"/>
      <c r="L331" s="86"/>
      <c r="M331" s="86"/>
      <c r="N331" s="86"/>
      <c r="O331" s="86"/>
      <c r="P331" s="86"/>
      <c r="Q331" s="86"/>
      <c r="R331" s="158"/>
      <c r="S331" s="403"/>
    </row>
    <row r="332" spans="4:23">
      <c r="D332" s="31" t="s">
        <v>452</v>
      </c>
      <c r="E332" s="86" t="s">
        <v>96</v>
      </c>
      <c r="F332" s="86"/>
      <c r="G332" s="86"/>
      <c r="H332" s="86"/>
      <c r="I332" s="86"/>
      <c r="J332" s="86"/>
      <c r="K332" s="86"/>
      <c r="L332" s="86"/>
      <c r="M332" s="86"/>
      <c r="N332" s="86"/>
      <c r="O332" s="86"/>
      <c r="P332" s="86"/>
      <c r="Q332" s="86"/>
      <c r="R332" s="158"/>
      <c r="S332" s="403"/>
    </row>
    <row r="333" spans="4:23">
      <c r="D333" s="31"/>
      <c r="E333" s="86"/>
      <c r="F333" s="86"/>
      <c r="G333" s="86"/>
      <c r="H333" s="86"/>
      <c r="I333" s="86"/>
      <c r="J333" s="86"/>
      <c r="K333" s="86"/>
      <c r="L333" s="86"/>
      <c r="M333" s="86"/>
      <c r="N333" s="86"/>
      <c r="O333" s="86"/>
      <c r="P333" s="86"/>
      <c r="Q333" s="86"/>
      <c r="R333" s="158"/>
      <c r="S333" s="403"/>
      <c r="U333" s="472" t="s">
        <v>1191</v>
      </c>
      <c r="V333" s="236">
        <v>0.15</v>
      </c>
      <c r="W333" s="534" t="s">
        <v>0</v>
      </c>
    </row>
    <row r="334" spans="4:23">
      <c r="D334" s="31"/>
      <c r="E334" s="974" t="s">
        <v>34</v>
      </c>
      <c r="F334" s="975"/>
      <c r="G334" s="975"/>
      <c r="H334" s="975"/>
      <c r="I334" s="975"/>
      <c r="J334" s="975"/>
      <c r="K334" s="975"/>
      <c r="L334" s="975"/>
      <c r="M334" s="975"/>
      <c r="N334" s="975"/>
      <c r="O334" s="975"/>
      <c r="P334" s="975"/>
      <c r="Q334" s="976"/>
      <c r="R334" s="156"/>
      <c r="S334" s="11"/>
    </row>
    <row r="335" spans="4:23">
      <c r="D335" s="31"/>
      <c r="E335" s="974" t="s">
        <v>140</v>
      </c>
      <c r="F335" s="975"/>
      <c r="G335" s="975"/>
      <c r="H335" s="975"/>
      <c r="I335" s="975"/>
      <c r="J335" s="975"/>
      <c r="K335" s="975"/>
      <c r="L335" s="975"/>
      <c r="M335" s="975"/>
      <c r="N335" s="975"/>
      <c r="O335" s="975"/>
      <c r="P335" s="975"/>
      <c r="Q335" s="978"/>
      <c r="R335" s="157">
        <f>Q193*V333</f>
        <v>4.2</v>
      </c>
      <c r="S335" s="156" t="s">
        <v>18</v>
      </c>
    </row>
    <row r="336" spans="4:23">
      <c r="D336" s="31"/>
      <c r="E336" s="86"/>
      <c r="F336" s="86"/>
      <c r="G336" s="86"/>
      <c r="H336" s="86"/>
      <c r="I336" s="86"/>
      <c r="J336" s="86"/>
      <c r="K336" s="86"/>
      <c r="L336" s="86"/>
      <c r="M336" s="86"/>
      <c r="N336" s="86"/>
      <c r="O336" s="86"/>
      <c r="P336" s="86"/>
      <c r="Q336" s="86"/>
      <c r="R336" s="158"/>
      <c r="S336" s="403"/>
    </row>
    <row r="337" spans="3:23">
      <c r="D337" s="31"/>
      <c r="E337" s="86"/>
      <c r="F337" s="86"/>
      <c r="G337" s="86"/>
      <c r="H337" s="86"/>
      <c r="I337" s="86"/>
      <c r="J337" s="86"/>
      <c r="K337" s="86"/>
      <c r="L337" s="86"/>
      <c r="M337" s="86"/>
      <c r="N337" s="86"/>
      <c r="O337" s="86"/>
      <c r="P337" s="86"/>
      <c r="Q337" s="86"/>
      <c r="R337" s="158"/>
      <c r="S337" s="403"/>
    </row>
    <row r="338" spans="3:23">
      <c r="D338" s="31" t="s">
        <v>453</v>
      </c>
      <c r="E338" s="86" t="s">
        <v>24</v>
      </c>
      <c r="F338" s="86"/>
      <c r="G338" s="86"/>
      <c r="H338" s="86"/>
      <c r="I338" s="86"/>
      <c r="J338" s="86"/>
      <c r="K338" s="86"/>
      <c r="L338" s="86"/>
      <c r="M338" s="86"/>
      <c r="N338" s="86"/>
      <c r="O338" s="86"/>
      <c r="P338" s="86"/>
      <c r="Q338" s="86"/>
      <c r="R338" s="158"/>
      <c r="S338" s="403"/>
    </row>
    <row r="339" spans="3:23">
      <c r="D339" s="31"/>
      <c r="E339" s="86"/>
      <c r="F339" s="86"/>
      <c r="G339" s="86"/>
      <c r="H339" s="86"/>
      <c r="I339" s="86"/>
      <c r="J339" s="86"/>
      <c r="K339" s="86"/>
      <c r="L339" s="86"/>
      <c r="M339" s="86"/>
      <c r="N339" s="86"/>
      <c r="O339" s="86"/>
      <c r="P339" s="86"/>
      <c r="Q339" s="86"/>
      <c r="R339" s="158"/>
      <c r="S339" s="403"/>
    </row>
    <row r="340" spans="3:23">
      <c r="D340" s="31"/>
      <c r="E340" s="979" t="s">
        <v>1198</v>
      </c>
      <c r="F340" s="980"/>
      <c r="G340" s="980"/>
      <c r="H340" s="980"/>
      <c r="I340" s="980"/>
      <c r="J340" s="980"/>
      <c r="K340" s="980"/>
      <c r="L340" s="980"/>
      <c r="M340" s="980"/>
      <c r="N340" s="980"/>
      <c r="O340" s="980"/>
      <c r="P340" s="980"/>
      <c r="Q340" s="981"/>
      <c r="R340" s="159">
        <f>R301</f>
        <v>28</v>
      </c>
      <c r="S340" s="498" t="s">
        <v>17</v>
      </c>
    </row>
    <row r="341" spans="3:23">
      <c r="D341" s="31"/>
      <c r="E341" s="86"/>
      <c r="F341" s="86"/>
      <c r="G341" s="86"/>
      <c r="H341" s="86"/>
      <c r="I341" s="86"/>
      <c r="J341" s="86"/>
      <c r="K341" s="86"/>
      <c r="L341" s="86"/>
      <c r="M341" s="86"/>
      <c r="N341" s="86"/>
      <c r="O341" s="86"/>
      <c r="P341" s="86"/>
      <c r="Q341" s="86"/>
      <c r="R341" s="158"/>
      <c r="S341" s="403"/>
    </row>
    <row r="342" spans="3:23">
      <c r="D342" s="31"/>
      <c r="E342" s="86"/>
      <c r="F342" s="86"/>
      <c r="G342" s="86"/>
      <c r="H342" s="86"/>
      <c r="I342" s="86"/>
      <c r="J342" s="86"/>
      <c r="K342" s="86"/>
      <c r="L342" s="86"/>
      <c r="M342" s="86"/>
      <c r="N342" s="86"/>
      <c r="O342" s="86"/>
      <c r="P342" s="86"/>
      <c r="Q342" s="86"/>
      <c r="R342" s="158"/>
      <c r="S342" s="403"/>
    </row>
    <row r="343" spans="3:23">
      <c r="D343" s="31" t="s">
        <v>1197</v>
      </c>
      <c r="E343" s="86" t="s">
        <v>353</v>
      </c>
      <c r="F343" s="86"/>
      <c r="G343" s="86"/>
      <c r="H343" s="86"/>
      <c r="I343" s="86"/>
      <c r="J343" s="86"/>
      <c r="K343" s="86"/>
      <c r="L343" s="86"/>
      <c r="M343" s="86"/>
      <c r="N343" s="86"/>
      <c r="O343" s="86"/>
      <c r="P343" s="86"/>
      <c r="Q343" s="86"/>
      <c r="R343" s="158"/>
      <c r="S343" s="403"/>
      <c r="U343" s="472" t="s">
        <v>1192</v>
      </c>
    </row>
    <row r="344" spans="3:23">
      <c r="D344" s="31"/>
      <c r="E344" s="86"/>
      <c r="F344" s="86"/>
      <c r="G344" s="86"/>
      <c r="H344" s="86"/>
      <c r="I344" s="86"/>
      <c r="J344" s="86"/>
      <c r="K344" s="86"/>
      <c r="L344" s="86"/>
      <c r="M344" s="86"/>
      <c r="N344" s="86"/>
      <c r="O344" s="86"/>
      <c r="P344" s="86"/>
      <c r="Q344" s="86"/>
      <c r="R344" s="158"/>
      <c r="S344" s="403"/>
      <c r="U344" s="317">
        <v>0.05</v>
      </c>
      <c r="V344" s="472" t="s">
        <v>0</v>
      </c>
    </row>
    <row r="345" spans="3:23">
      <c r="D345" s="31"/>
      <c r="E345" s="974" t="s">
        <v>1211</v>
      </c>
      <c r="F345" s="975"/>
      <c r="G345" s="975"/>
      <c r="H345" s="975"/>
      <c r="I345" s="975"/>
      <c r="J345" s="975"/>
      <c r="K345" s="975"/>
      <c r="L345" s="975"/>
      <c r="M345" s="975"/>
      <c r="N345" s="975"/>
      <c r="O345" s="975"/>
      <c r="P345" s="975"/>
      <c r="Q345" s="976"/>
      <c r="R345" s="157">
        <f>R301*U344</f>
        <v>1.4000000000000001</v>
      </c>
      <c r="S345" s="156" t="s">
        <v>18</v>
      </c>
    </row>
    <row r="346" spans="3:23">
      <c r="D346" s="31"/>
      <c r="E346" s="974"/>
      <c r="F346" s="975"/>
      <c r="G346" s="975"/>
      <c r="H346" s="975"/>
      <c r="I346" s="975"/>
      <c r="J346" s="975"/>
      <c r="K346" s="975"/>
      <c r="L346" s="975"/>
      <c r="M346" s="975"/>
      <c r="N346" s="975"/>
      <c r="O346" s="975"/>
      <c r="P346" s="975"/>
      <c r="Q346" s="975"/>
    </row>
    <row r="348" spans="3:23">
      <c r="D348" s="31"/>
      <c r="E348" s="173"/>
      <c r="R348" s="158"/>
    </row>
    <row r="349" spans="3:23">
      <c r="C349" s="205" t="s">
        <v>477</v>
      </c>
      <c r="D349" s="508" t="s">
        <v>1140</v>
      </c>
      <c r="E349" s="177"/>
      <c r="F349" s="177"/>
      <c r="G349" s="177"/>
      <c r="H349" s="177"/>
      <c r="I349" s="177"/>
      <c r="J349" s="177"/>
      <c r="K349" s="177"/>
      <c r="L349" s="177"/>
      <c r="M349" s="177"/>
      <c r="N349" s="177"/>
      <c r="O349" s="177"/>
      <c r="P349" s="177"/>
      <c r="Q349" s="177"/>
      <c r="R349" s="177"/>
      <c r="S349" s="177"/>
      <c r="T349" s="177"/>
      <c r="U349" s="177"/>
      <c r="V349" s="178"/>
    </row>
    <row r="350" spans="3:23">
      <c r="D350" s="174"/>
      <c r="E350" s="174"/>
      <c r="F350" s="174"/>
      <c r="G350" s="174"/>
      <c r="H350" s="174"/>
      <c r="I350" s="174"/>
      <c r="J350" s="174"/>
      <c r="K350" s="174"/>
      <c r="L350" s="174"/>
      <c r="M350" s="174"/>
      <c r="N350" s="174"/>
      <c r="O350" s="174"/>
      <c r="P350" s="174"/>
      <c r="Q350" s="174"/>
      <c r="R350" s="205"/>
      <c r="S350" s="501"/>
      <c r="T350" s="174"/>
      <c r="U350" s="174"/>
      <c r="V350" s="174"/>
    </row>
    <row r="351" spans="3:23">
      <c r="D351" s="31" t="s">
        <v>478</v>
      </c>
      <c r="E351" s="173" t="s">
        <v>185</v>
      </c>
      <c r="R351" s="157">
        <f>1*1.5</f>
        <v>1.5</v>
      </c>
      <c r="S351" s="156" t="s">
        <v>0</v>
      </c>
      <c r="U351" s="512" t="s">
        <v>822</v>
      </c>
      <c r="V351" s="513">
        <v>0.5</v>
      </c>
      <c r="W351" s="514" t="s">
        <v>0</v>
      </c>
    </row>
    <row r="352" spans="3:23">
      <c r="D352" s="31" t="s">
        <v>479</v>
      </c>
      <c r="E352" s="173" t="s">
        <v>355</v>
      </c>
      <c r="R352" s="157">
        <v>1</v>
      </c>
      <c r="S352" s="497" t="s">
        <v>987</v>
      </c>
      <c r="U352" s="515" t="s">
        <v>858</v>
      </c>
      <c r="V352" s="156">
        <v>0.5</v>
      </c>
      <c r="W352" s="516" t="s">
        <v>0</v>
      </c>
    </row>
    <row r="353" spans="3:23">
      <c r="D353" s="31" t="s">
        <v>480</v>
      </c>
      <c r="E353" s="173" t="s">
        <v>168</v>
      </c>
      <c r="R353" s="157">
        <v>1</v>
      </c>
      <c r="S353" s="497" t="s">
        <v>987</v>
      </c>
      <c r="U353" s="517" t="s">
        <v>1167</v>
      </c>
      <c r="V353" s="518">
        <v>0.15</v>
      </c>
      <c r="W353" s="519" t="s">
        <v>0</v>
      </c>
    </row>
    <row r="354" spans="3:23">
      <c r="D354" s="31" t="s">
        <v>481</v>
      </c>
      <c r="E354" s="173" t="s">
        <v>119</v>
      </c>
      <c r="R354" s="157">
        <f>1*(V351*V352*V353)</f>
        <v>3.7499999999999999E-2</v>
      </c>
      <c r="S354" s="156" t="s">
        <v>18</v>
      </c>
    </row>
    <row r="355" spans="3:23">
      <c r="D355" s="31" t="s">
        <v>482</v>
      </c>
      <c r="E355" s="173" t="s">
        <v>120</v>
      </c>
      <c r="R355" s="157">
        <f>((V351*2+V352*2)*V353)*1</f>
        <v>0.3</v>
      </c>
      <c r="S355" s="156" t="s">
        <v>17</v>
      </c>
    </row>
    <row r="356" spans="3:23">
      <c r="D356" s="31" t="s">
        <v>483</v>
      </c>
      <c r="E356" s="173" t="s">
        <v>117</v>
      </c>
      <c r="R356" s="157">
        <f>R355*80</f>
        <v>24</v>
      </c>
      <c r="S356" s="156" t="s">
        <v>130</v>
      </c>
    </row>
    <row r="357" spans="3:23">
      <c r="D357" s="31"/>
      <c r="E357" s="173"/>
      <c r="R357" s="158"/>
      <c r="S357" s="403"/>
    </row>
    <row r="358" spans="3:23">
      <c r="C358" s="205" t="s">
        <v>484</v>
      </c>
      <c r="D358" s="508" t="s">
        <v>1204</v>
      </c>
      <c r="E358" s="205"/>
      <c r="F358" s="508"/>
      <c r="G358" s="205"/>
      <c r="H358" s="508"/>
      <c r="I358" s="205"/>
      <c r="J358" s="508"/>
      <c r="K358" s="205"/>
      <c r="L358" s="508"/>
      <c r="M358" s="205"/>
      <c r="N358" s="508"/>
      <c r="O358" s="205"/>
      <c r="P358" s="508"/>
      <c r="Q358" s="205"/>
      <c r="R358" s="508"/>
      <c r="S358" s="205"/>
      <c r="T358" s="508"/>
      <c r="U358" s="205"/>
      <c r="V358" s="508"/>
    </row>
    <row r="359" spans="3:23">
      <c r="D359" s="174"/>
      <c r="E359" s="174"/>
      <c r="F359" s="174"/>
      <c r="G359" s="174"/>
      <c r="H359" s="174"/>
      <c r="I359" s="174"/>
      <c r="J359" s="174"/>
      <c r="K359" s="174"/>
      <c r="L359" s="174"/>
      <c r="M359" s="174"/>
      <c r="N359" s="174"/>
      <c r="O359" s="174"/>
      <c r="P359" s="174"/>
      <c r="Q359" s="174"/>
      <c r="R359" s="205"/>
      <c r="S359" s="205"/>
      <c r="T359" s="174"/>
      <c r="U359" s="174"/>
      <c r="V359" s="174"/>
    </row>
    <row r="360" spans="3:23">
      <c r="D360" s="31" t="s">
        <v>485</v>
      </c>
      <c r="E360" s="173" t="s">
        <v>186</v>
      </c>
      <c r="R360" s="157">
        <v>17</v>
      </c>
      <c r="S360" s="156" t="s">
        <v>987</v>
      </c>
    </row>
    <row r="361" spans="3:23">
      <c r="D361" s="31" t="s">
        <v>486</v>
      </c>
      <c r="E361" s="173" t="s">
        <v>241</v>
      </c>
      <c r="R361" s="157">
        <v>4</v>
      </c>
      <c r="S361" s="156" t="s">
        <v>987</v>
      </c>
    </row>
    <row r="362" spans="3:23">
      <c r="D362" s="162"/>
    </row>
    <row r="364" spans="3:23">
      <c r="C364" s="205" t="s">
        <v>487</v>
      </c>
      <c r="D364" s="508" t="s">
        <v>1205</v>
      </c>
      <c r="E364" s="477"/>
      <c r="F364" s="477"/>
      <c r="G364" s="477"/>
      <c r="H364" s="477"/>
      <c r="I364" s="477"/>
      <c r="J364" s="477"/>
      <c r="K364" s="477"/>
      <c r="L364" s="477"/>
      <c r="M364" s="477"/>
      <c r="N364" s="477"/>
      <c r="O364" s="477"/>
      <c r="P364" s="477"/>
      <c r="Q364" s="477"/>
      <c r="R364" s="477"/>
      <c r="S364" s="477"/>
      <c r="T364" s="477"/>
      <c r="U364" s="477"/>
      <c r="V364" s="504"/>
    </row>
    <row r="365" spans="3:23">
      <c r="D365" s="444"/>
      <c r="E365" s="444"/>
      <c r="F365" s="444"/>
      <c r="G365" s="444"/>
      <c r="H365" s="444"/>
      <c r="I365" s="444"/>
      <c r="J365" s="444"/>
      <c r="K365" s="444"/>
      <c r="L365" s="444"/>
      <c r="M365" s="444"/>
      <c r="N365" s="10"/>
      <c r="O365" s="444"/>
      <c r="P365" s="444"/>
      <c r="Q365" s="444"/>
      <c r="R365" s="136"/>
      <c r="S365" s="136"/>
      <c r="T365" s="444"/>
      <c r="U365" s="444"/>
      <c r="V365" s="444"/>
    </row>
    <row r="366" spans="3:23">
      <c r="D366" s="1020" t="s">
        <v>102</v>
      </c>
      <c r="E366" s="1020"/>
      <c r="F366" s="1020"/>
      <c r="G366" s="1020"/>
      <c r="H366" s="1020"/>
      <c r="I366" s="1020"/>
      <c r="J366" s="1020"/>
      <c r="K366" s="1020"/>
      <c r="L366" s="1020"/>
      <c r="M366" s="1020"/>
      <c r="N366" s="14"/>
      <c r="O366" s="1020" t="s">
        <v>102</v>
      </c>
      <c r="P366" s="1020"/>
      <c r="Q366" s="1020"/>
      <c r="R366" s="1020"/>
      <c r="S366" s="1020"/>
      <c r="T366" s="1020"/>
      <c r="U366" s="1020"/>
      <c r="V366" s="1020"/>
    </row>
    <row r="367" spans="3:23">
      <c r="D367" s="1003" t="s">
        <v>103</v>
      </c>
      <c r="E367" s="1003"/>
      <c r="F367" s="1003"/>
      <c r="G367" s="1003"/>
      <c r="H367" s="1003"/>
      <c r="I367" s="1003" t="s">
        <v>1</v>
      </c>
      <c r="J367" s="1003"/>
      <c r="K367" s="1003"/>
      <c r="L367" s="1003"/>
      <c r="M367" s="1003"/>
      <c r="N367" s="15"/>
      <c r="O367" s="1174" t="s">
        <v>104</v>
      </c>
      <c r="P367" s="1175"/>
      <c r="Q367" s="1175"/>
      <c r="R367" s="1176"/>
      <c r="S367" s="1177" t="s">
        <v>105</v>
      </c>
      <c r="T367" s="1177"/>
      <c r="U367" s="1177"/>
      <c r="V367" s="1177"/>
    </row>
    <row r="368" spans="3:23">
      <c r="D368" s="1006"/>
      <c r="E368" s="1006"/>
      <c r="F368" s="1006"/>
      <c r="G368" s="1006"/>
      <c r="H368" s="1006"/>
      <c r="I368" s="1006"/>
      <c r="J368" s="1006"/>
      <c r="K368" s="1006"/>
      <c r="L368" s="1006"/>
      <c r="M368" s="1006"/>
      <c r="N368" s="16"/>
      <c r="O368" s="1179">
        <v>50</v>
      </c>
      <c r="P368" s="1180"/>
      <c r="Q368" s="1181" t="s">
        <v>106</v>
      </c>
      <c r="R368" s="1182"/>
      <c r="S368" s="1183">
        <f>ROUND(SUM(F183:G188)/O368,0)</f>
        <v>12</v>
      </c>
      <c r="T368" s="1184"/>
      <c r="U368" s="1185" t="s">
        <v>107</v>
      </c>
      <c r="V368" s="1186"/>
    </row>
    <row r="369" spans="4:22">
      <c r="D369" s="106">
        <v>1</v>
      </c>
      <c r="E369" s="17" t="s">
        <v>108</v>
      </c>
      <c r="F369" s="993" t="s">
        <v>109</v>
      </c>
      <c r="G369" s="993"/>
      <c r="H369" s="993"/>
      <c r="I369" s="18">
        <f>ROUNDUP($I$193*D369,0)</f>
        <v>7</v>
      </c>
      <c r="J369" s="19" t="s">
        <v>108</v>
      </c>
      <c r="K369" s="993" t="s">
        <v>109</v>
      </c>
      <c r="L369" s="993"/>
      <c r="M369" s="993"/>
      <c r="N369" s="20"/>
      <c r="O369" s="1187"/>
      <c r="P369" s="1006"/>
      <c r="Q369" s="1006"/>
      <c r="R369" s="1006"/>
      <c r="S369" s="1006"/>
      <c r="T369" s="1006"/>
      <c r="U369" s="1006"/>
      <c r="V369" s="1188"/>
    </row>
    <row r="370" spans="4:22">
      <c r="D370" s="106">
        <v>2</v>
      </c>
      <c r="E370" s="17" t="s">
        <v>108</v>
      </c>
      <c r="F370" s="993" t="s">
        <v>110</v>
      </c>
      <c r="G370" s="993"/>
      <c r="H370" s="993"/>
      <c r="I370" s="18">
        <f t="shared" ref="I370:I372" si="6">ROUNDUP($I$193*D370,0)</f>
        <v>14</v>
      </c>
      <c r="J370" s="19" t="s">
        <v>108</v>
      </c>
      <c r="K370" s="993" t="s">
        <v>110</v>
      </c>
      <c r="L370" s="993"/>
      <c r="M370" s="993"/>
      <c r="N370" s="20"/>
      <c r="O370" s="1003" t="s">
        <v>111</v>
      </c>
      <c r="P370" s="1003"/>
      <c r="Q370" s="1003"/>
      <c r="R370" s="1003"/>
      <c r="S370" s="1003" t="s">
        <v>112</v>
      </c>
      <c r="T370" s="1003"/>
      <c r="U370" s="1003"/>
      <c r="V370" s="1003"/>
    </row>
    <row r="371" spans="4:22">
      <c r="D371" s="106">
        <v>8</v>
      </c>
      <c r="E371" s="17" t="s">
        <v>108</v>
      </c>
      <c r="F371" s="993" t="s">
        <v>113</v>
      </c>
      <c r="G371" s="993"/>
      <c r="H371" s="993"/>
      <c r="I371" s="18">
        <f t="shared" si="6"/>
        <v>56</v>
      </c>
      <c r="J371" s="19" t="s">
        <v>108</v>
      </c>
      <c r="K371" s="993" t="s">
        <v>113</v>
      </c>
      <c r="L371" s="993"/>
      <c r="M371" s="993"/>
      <c r="N371" s="21"/>
      <c r="O371" s="105">
        <v>1</v>
      </c>
      <c r="P371" s="17" t="s">
        <v>108</v>
      </c>
      <c r="Q371" s="1172" t="s">
        <v>109</v>
      </c>
      <c r="R371" s="1172"/>
      <c r="S371" s="502">
        <f>ROUNDUP(($S$368*O371),0)</f>
        <v>12</v>
      </c>
      <c r="T371" s="22" t="s">
        <v>108</v>
      </c>
      <c r="U371" s="1172" t="s">
        <v>109</v>
      </c>
      <c r="V371" s="1172"/>
    </row>
    <row r="372" spans="4:22">
      <c r="D372" s="18">
        <v>8</v>
      </c>
      <c r="E372" s="19" t="s">
        <v>108</v>
      </c>
      <c r="F372" s="993" t="s">
        <v>114</v>
      </c>
      <c r="G372" s="993"/>
      <c r="H372" s="993"/>
      <c r="I372" s="18">
        <f t="shared" si="6"/>
        <v>56</v>
      </c>
      <c r="J372" s="19" t="s">
        <v>108</v>
      </c>
      <c r="K372" s="993" t="s">
        <v>114</v>
      </c>
      <c r="L372" s="993"/>
      <c r="M372" s="993"/>
      <c r="N372" s="21"/>
      <c r="O372" s="105">
        <v>4</v>
      </c>
      <c r="P372" s="17" t="s">
        <v>108</v>
      </c>
      <c r="Q372" s="1172" t="s">
        <v>110</v>
      </c>
      <c r="R372" s="1172"/>
      <c r="S372" s="502">
        <f>ROUNDUP(($S$368*O372),0)</f>
        <v>48</v>
      </c>
      <c r="T372" s="17" t="s">
        <v>108</v>
      </c>
      <c r="U372" s="1172" t="s">
        <v>110</v>
      </c>
      <c r="V372" s="1172"/>
    </row>
    <row r="373" spans="4:22">
      <c r="D373" s="18">
        <v>4</v>
      </c>
      <c r="E373" s="36" t="s">
        <v>108</v>
      </c>
      <c r="F373" s="1008" t="s">
        <v>123</v>
      </c>
      <c r="G373" s="1009"/>
      <c r="H373" s="1010"/>
      <c r="I373" s="18">
        <f>ROUNDUP($I$193*D373,0)</f>
        <v>28</v>
      </c>
      <c r="J373" s="36" t="s">
        <v>108</v>
      </c>
      <c r="K373" s="1008" t="s">
        <v>123</v>
      </c>
      <c r="L373" s="1009"/>
      <c r="M373" s="1010"/>
      <c r="N373" s="21"/>
      <c r="O373" s="105">
        <v>8</v>
      </c>
      <c r="P373" s="17" t="s">
        <v>108</v>
      </c>
      <c r="Q373" s="1172" t="s">
        <v>113</v>
      </c>
      <c r="R373" s="1172"/>
      <c r="S373" s="502">
        <f>ROUNDUP(($S$368*O373),0)</f>
        <v>96</v>
      </c>
      <c r="T373" s="17" t="s">
        <v>108</v>
      </c>
      <c r="U373" s="1172" t="s">
        <v>113</v>
      </c>
      <c r="V373" s="1172"/>
    </row>
    <row r="374" spans="4:22">
      <c r="D374" s="18">
        <v>8</v>
      </c>
      <c r="E374" s="36" t="s">
        <v>108</v>
      </c>
      <c r="F374" s="1008" t="s">
        <v>243</v>
      </c>
      <c r="G374" s="1009"/>
      <c r="H374" s="1010"/>
      <c r="I374" s="18">
        <f>ROUNDUP($I$193*D374,0)</f>
        <v>56</v>
      </c>
      <c r="J374" s="36" t="s">
        <v>108</v>
      </c>
      <c r="K374" s="1008" t="s">
        <v>243</v>
      </c>
      <c r="L374" s="1009"/>
      <c r="M374" s="1010"/>
      <c r="N374" s="38"/>
      <c r="O374" s="488">
        <v>8</v>
      </c>
      <c r="P374" s="39" t="s">
        <v>108</v>
      </c>
      <c r="Q374" s="1173" t="s">
        <v>114</v>
      </c>
      <c r="R374" s="1173"/>
      <c r="S374" s="502">
        <f>ROUNDUP(($S$368*O374),0)</f>
        <v>96</v>
      </c>
      <c r="T374" s="40" t="s">
        <v>108</v>
      </c>
      <c r="U374" s="1173" t="s">
        <v>114</v>
      </c>
      <c r="V374" s="1173"/>
    </row>
    <row r="375" spans="4:22">
      <c r="D375" s="18">
        <v>8</v>
      </c>
      <c r="E375" s="36" t="s">
        <v>108</v>
      </c>
      <c r="F375" s="1018" t="s">
        <v>244</v>
      </c>
      <c r="G375" s="1018"/>
      <c r="H375" s="1018"/>
      <c r="I375" s="18">
        <f>ROUNDUP($I$193*D375,0)</f>
        <v>56</v>
      </c>
      <c r="J375" s="36" t="s">
        <v>108</v>
      </c>
      <c r="K375" s="1018" t="s">
        <v>244</v>
      </c>
      <c r="L375" s="1018"/>
      <c r="M375" s="1018"/>
      <c r="N375" s="23"/>
      <c r="O375" s="105">
        <v>8</v>
      </c>
      <c r="P375" s="36" t="s">
        <v>108</v>
      </c>
      <c r="Q375" s="1173" t="s">
        <v>123</v>
      </c>
      <c r="R375" s="1173"/>
      <c r="S375" s="502">
        <f>ROUNDUP(($S$368*O375),0)</f>
        <v>96</v>
      </c>
      <c r="T375" s="37" t="s">
        <v>108</v>
      </c>
      <c r="U375" s="1173" t="s">
        <v>123</v>
      </c>
      <c r="V375" s="1173"/>
    </row>
    <row r="376" spans="4:22">
      <c r="N376" s="474"/>
    </row>
    <row r="377" spans="4:22">
      <c r="D377" s="88"/>
      <c r="E377" s="88"/>
      <c r="F377" s="88"/>
      <c r="G377" s="88"/>
      <c r="H377" s="88"/>
      <c r="I377" s="88"/>
      <c r="J377" s="88"/>
      <c r="K377" s="88"/>
      <c r="L377" s="88"/>
      <c r="M377" s="88"/>
      <c r="N377" s="88"/>
      <c r="O377" s="88"/>
      <c r="P377" s="88"/>
      <c r="Q377" s="88"/>
      <c r="R377" s="154"/>
      <c r="S377" s="154"/>
      <c r="T377" s="88"/>
      <c r="U377" s="88"/>
      <c r="V377" s="88"/>
    </row>
    <row r="378" spans="4:22">
      <c r="D378" s="1011" t="s">
        <v>115</v>
      </c>
      <c r="E378" s="1012"/>
      <c r="F378" s="1012"/>
      <c r="G378" s="1012"/>
      <c r="H378" s="1013"/>
      <c r="I378" s="88"/>
      <c r="J378" s="88"/>
      <c r="K378" s="88"/>
      <c r="L378" s="88"/>
      <c r="M378" s="88"/>
      <c r="N378" s="88"/>
      <c r="O378" s="88"/>
      <c r="P378" s="88"/>
      <c r="Q378" s="88"/>
      <c r="S378" s="154"/>
      <c r="T378" s="88"/>
      <c r="U378" s="88"/>
      <c r="V378" s="88"/>
    </row>
    <row r="379" spans="4:22">
      <c r="D379" s="11" t="s">
        <v>488</v>
      </c>
      <c r="E379" s="8" t="s">
        <v>1110</v>
      </c>
      <c r="F379" s="397"/>
      <c r="G379" s="397"/>
      <c r="H379" s="487"/>
      <c r="I379" s="88"/>
      <c r="J379" s="88"/>
      <c r="K379" s="88"/>
      <c r="L379" s="88"/>
      <c r="M379" s="88"/>
      <c r="N379" s="88"/>
      <c r="O379" s="88"/>
      <c r="P379" s="88"/>
      <c r="Q379" s="88"/>
      <c r="R379" s="159">
        <f>I369+S371</f>
        <v>19</v>
      </c>
      <c r="S379" s="11" t="s">
        <v>352</v>
      </c>
      <c r="T379" s="88"/>
      <c r="U379" s="88"/>
      <c r="V379" s="88"/>
    </row>
    <row r="380" spans="4:22">
      <c r="D380" s="11" t="s">
        <v>489</v>
      </c>
      <c r="E380" s="8" t="s">
        <v>1112</v>
      </c>
      <c r="F380" s="397"/>
      <c r="G380" s="397"/>
      <c r="H380" s="487"/>
      <c r="I380" s="88"/>
      <c r="J380" s="88"/>
      <c r="K380" s="88"/>
      <c r="L380" s="88"/>
      <c r="M380" s="88"/>
      <c r="N380" s="88"/>
      <c r="O380" s="88"/>
      <c r="P380" s="88"/>
      <c r="Q380" s="88"/>
      <c r="R380" s="157">
        <f>I370+S372</f>
        <v>62</v>
      </c>
      <c r="S380" s="11" t="s">
        <v>352</v>
      </c>
      <c r="T380" s="88"/>
      <c r="U380" s="88"/>
      <c r="V380" s="88"/>
    </row>
    <row r="381" spans="4:22">
      <c r="D381" s="11" t="s">
        <v>490</v>
      </c>
      <c r="E381" s="8" t="s">
        <v>1114</v>
      </c>
      <c r="F381" s="397"/>
      <c r="G381" s="397"/>
      <c r="H381" s="487"/>
      <c r="I381" s="88"/>
      <c r="J381" s="88"/>
      <c r="K381" s="88"/>
      <c r="L381" s="88"/>
      <c r="M381" s="88"/>
      <c r="N381" s="88"/>
      <c r="O381" s="88"/>
      <c r="P381" s="88"/>
      <c r="Q381" s="88"/>
      <c r="R381" s="157">
        <f>I371+S373</f>
        <v>152</v>
      </c>
      <c r="S381" s="11" t="s">
        <v>352</v>
      </c>
      <c r="T381" s="88"/>
      <c r="U381" s="88"/>
      <c r="V381" s="88"/>
    </row>
    <row r="382" spans="4:22">
      <c r="D382" s="11" t="s">
        <v>491</v>
      </c>
      <c r="E382" s="8" t="s">
        <v>1116</v>
      </c>
      <c r="F382" s="397"/>
      <c r="G382" s="397"/>
      <c r="H382" s="487"/>
      <c r="I382" s="88"/>
      <c r="J382" s="88"/>
      <c r="K382" s="88"/>
      <c r="L382" s="88"/>
      <c r="M382" s="88"/>
      <c r="N382" s="88"/>
      <c r="O382" s="88"/>
      <c r="P382" s="88"/>
      <c r="Q382" s="88"/>
      <c r="R382" s="157">
        <f>I372+S374</f>
        <v>152</v>
      </c>
      <c r="S382" s="11" t="s">
        <v>352</v>
      </c>
      <c r="T382" s="88"/>
      <c r="U382" s="88"/>
      <c r="V382" s="88"/>
    </row>
    <row r="383" spans="4:22">
      <c r="D383" s="11" t="s">
        <v>492</v>
      </c>
      <c r="E383" s="8" t="s">
        <v>239</v>
      </c>
      <c r="F383" s="397"/>
      <c r="G383" s="397"/>
      <c r="H383" s="487"/>
      <c r="I383" s="88"/>
      <c r="J383" s="88"/>
      <c r="K383" s="88"/>
      <c r="L383" s="88"/>
      <c r="M383" s="88"/>
      <c r="N383" s="88"/>
      <c r="O383" s="88"/>
      <c r="P383" s="88"/>
      <c r="Q383" s="88"/>
      <c r="R383" s="157">
        <f>I374</f>
        <v>56</v>
      </c>
      <c r="S383" s="11" t="s">
        <v>352</v>
      </c>
      <c r="T383" s="88"/>
      <c r="U383" s="88"/>
      <c r="V383" s="88"/>
    </row>
    <row r="384" spans="4:22">
      <c r="D384" s="11" t="s">
        <v>493</v>
      </c>
      <c r="E384" s="8" t="s">
        <v>240</v>
      </c>
      <c r="F384" s="397"/>
      <c r="G384" s="397"/>
      <c r="H384" s="487"/>
      <c r="I384" s="88"/>
      <c r="J384" s="88"/>
      <c r="K384" s="88"/>
      <c r="L384" s="88"/>
      <c r="M384" s="88"/>
      <c r="N384" s="88"/>
      <c r="O384" s="88"/>
      <c r="P384" s="88"/>
      <c r="Q384" s="88"/>
      <c r="R384" s="157">
        <f>I375</f>
        <v>56</v>
      </c>
      <c r="S384" s="11" t="s">
        <v>352</v>
      </c>
      <c r="T384" s="88"/>
      <c r="U384" s="88"/>
      <c r="V384" s="88"/>
    </row>
    <row r="385" spans="3:22">
      <c r="D385" s="396"/>
      <c r="E385" s="397"/>
      <c r="F385" s="397"/>
      <c r="G385" s="397"/>
      <c r="H385" s="487"/>
      <c r="I385" s="88"/>
      <c r="J385" s="88"/>
      <c r="K385" s="88"/>
      <c r="L385" s="88"/>
      <c r="M385" s="88"/>
      <c r="N385" s="88"/>
      <c r="O385" s="88"/>
      <c r="P385" s="88"/>
      <c r="Q385" s="88"/>
      <c r="S385" s="154"/>
      <c r="T385" s="88"/>
      <c r="U385" s="88"/>
      <c r="V385" s="88"/>
    </row>
    <row r="386" spans="3:22">
      <c r="D386" s="11"/>
    </row>
    <row r="387" spans="3:22">
      <c r="C387" s="205" t="s">
        <v>494</v>
      </c>
      <c r="D387" s="508" t="s">
        <v>162</v>
      </c>
      <c r="E387" s="205"/>
      <c r="F387" s="508"/>
      <c r="G387" s="205"/>
      <c r="H387" s="508"/>
    </row>
    <row r="388" spans="3:22" ht="12" customHeight="1"/>
    <row r="389" spans="3:22" ht="12.75" customHeight="1">
      <c r="D389" s="11" t="s">
        <v>495</v>
      </c>
      <c r="E389" s="8" t="s">
        <v>49</v>
      </c>
      <c r="F389" s="179"/>
      <c r="G389" s="179"/>
      <c r="H389" s="179"/>
      <c r="I389" s="179"/>
      <c r="J389" s="179"/>
      <c r="K389" s="179"/>
      <c r="L389" s="179"/>
      <c r="M389" s="179"/>
      <c r="N389" s="179"/>
      <c r="O389" s="179"/>
      <c r="P389" s="179"/>
      <c r="Q389" s="179"/>
      <c r="R389" s="158"/>
      <c r="S389" s="403"/>
    </row>
    <row r="391" spans="3:22">
      <c r="E391" s="986" t="s">
        <v>1206</v>
      </c>
      <c r="F391" s="987"/>
      <c r="G391" s="987"/>
      <c r="H391" s="987"/>
      <c r="I391" s="987"/>
      <c r="J391" s="987"/>
      <c r="K391" s="987"/>
      <c r="L391" s="987"/>
      <c r="M391" s="987"/>
      <c r="N391" s="987"/>
      <c r="O391" s="987"/>
      <c r="P391" s="987"/>
      <c r="Q391" s="1004"/>
      <c r="R391" s="157">
        <f>SUM(Q183:Q188)+Q193</f>
        <v>377.20000000000005</v>
      </c>
      <c r="S391" s="11" t="s">
        <v>17</v>
      </c>
    </row>
    <row r="393" spans="3:22">
      <c r="D393" s="403"/>
      <c r="E393" s="395"/>
      <c r="F393" s="395"/>
      <c r="G393" s="395"/>
      <c r="H393" s="395"/>
      <c r="I393" s="395"/>
      <c r="J393" s="395"/>
      <c r="K393" s="395"/>
      <c r="L393" s="395"/>
      <c r="M393" s="395"/>
      <c r="N393" s="395"/>
      <c r="O393" s="395"/>
      <c r="P393" s="395"/>
      <c r="Q393" s="395"/>
      <c r="R393" s="158"/>
      <c r="S393" s="403"/>
    </row>
    <row r="394" spans="3:22">
      <c r="C394" s="132" t="s">
        <v>505</v>
      </c>
      <c r="D394" s="396" t="s">
        <v>358</v>
      </c>
      <c r="E394" s="396"/>
      <c r="F394" s="395"/>
      <c r="G394" s="395"/>
      <c r="H394" s="395"/>
      <c r="I394" s="395"/>
      <c r="J394" s="395"/>
      <c r="K394" s="395"/>
      <c r="L394" s="395"/>
      <c r="M394" s="395"/>
      <c r="N394" s="395"/>
      <c r="O394" s="395"/>
      <c r="P394" s="395"/>
      <c r="Q394" s="395"/>
      <c r="R394" s="158"/>
      <c r="S394" s="403"/>
    </row>
    <row r="395" spans="3:22">
      <c r="D395" s="403" t="s">
        <v>506</v>
      </c>
      <c r="E395" s="123" t="s">
        <v>1208</v>
      </c>
      <c r="F395" s="395"/>
      <c r="G395" s="395"/>
      <c r="H395" s="395"/>
      <c r="I395" s="395"/>
      <c r="J395" s="395"/>
      <c r="K395" s="395"/>
      <c r="L395" s="395"/>
      <c r="M395" s="395"/>
      <c r="N395" s="395"/>
      <c r="O395" s="395"/>
      <c r="P395" s="395"/>
      <c r="Q395" s="395"/>
      <c r="R395" s="157">
        <f>4*2</f>
        <v>8</v>
      </c>
      <c r="S395" s="11" t="s">
        <v>352</v>
      </c>
    </row>
    <row r="396" spans="3:22">
      <c r="D396" s="403" t="s">
        <v>507</v>
      </c>
      <c r="E396" s="8" t="s">
        <v>1177</v>
      </c>
      <c r="F396" s="398"/>
      <c r="G396" s="399"/>
      <c r="H396" s="399"/>
      <c r="I396" s="399"/>
      <c r="J396" s="399"/>
      <c r="K396" s="399"/>
      <c r="L396" s="399"/>
      <c r="M396" s="399"/>
      <c r="N396" s="399"/>
      <c r="O396" s="399"/>
      <c r="P396" s="399"/>
      <c r="Q396" s="399"/>
      <c r="R396" s="157">
        <f>8*2</f>
        <v>16</v>
      </c>
      <c r="S396" s="11" t="s">
        <v>352</v>
      </c>
    </row>
    <row r="397" spans="3:22">
      <c r="D397" s="403" t="s">
        <v>508</v>
      </c>
      <c r="E397" s="8" t="s">
        <v>1161</v>
      </c>
      <c r="F397" s="398"/>
      <c r="G397" s="399"/>
      <c r="H397" s="399"/>
      <c r="I397" s="399"/>
      <c r="J397" s="399"/>
      <c r="K397" s="399"/>
      <c r="L397" s="399"/>
      <c r="M397" s="399"/>
      <c r="N397" s="399"/>
      <c r="O397" s="399"/>
      <c r="P397" s="399"/>
      <c r="Q397" s="399"/>
      <c r="R397" s="157">
        <f t="shared" ref="R397:R399" si="7">8*2</f>
        <v>16</v>
      </c>
      <c r="S397" s="11" t="s">
        <v>352</v>
      </c>
    </row>
    <row r="398" spans="3:22">
      <c r="D398" s="403" t="s">
        <v>509</v>
      </c>
      <c r="E398" s="8" t="s">
        <v>1162</v>
      </c>
      <c r="F398" s="398"/>
      <c r="G398" s="399"/>
      <c r="H398" s="399"/>
      <c r="I398" s="399"/>
      <c r="J398" s="399"/>
      <c r="K398" s="399"/>
      <c r="L398" s="399"/>
      <c r="M398" s="399"/>
      <c r="N398" s="399"/>
      <c r="O398" s="399"/>
      <c r="P398" s="399"/>
      <c r="Q398" s="399"/>
      <c r="R398" s="157">
        <f t="shared" si="7"/>
        <v>16</v>
      </c>
      <c r="S398" s="11" t="s">
        <v>352</v>
      </c>
    </row>
    <row r="399" spans="3:22">
      <c r="D399" s="403" t="s">
        <v>510</v>
      </c>
      <c r="E399" s="8" t="s">
        <v>1179</v>
      </c>
      <c r="F399" s="398"/>
      <c r="G399" s="399"/>
      <c r="H399" s="399"/>
      <c r="I399" s="399"/>
      <c r="J399" s="399"/>
      <c r="K399" s="399"/>
      <c r="L399" s="399"/>
      <c r="M399" s="399"/>
      <c r="N399" s="399"/>
      <c r="O399" s="399"/>
      <c r="P399" s="399"/>
      <c r="Q399" s="399"/>
      <c r="R399" s="157">
        <f t="shared" si="7"/>
        <v>16</v>
      </c>
      <c r="S399" s="11" t="s">
        <v>352</v>
      </c>
    </row>
    <row r="400" spans="3:22">
      <c r="D400" s="403"/>
      <c r="E400" s="8"/>
      <c r="F400" s="398"/>
      <c r="G400" s="399"/>
      <c r="H400" s="399"/>
      <c r="I400" s="399"/>
      <c r="J400" s="399"/>
      <c r="K400" s="399"/>
      <c r="L400" s="399"/>
      <c r="M400" s="399"/>
      <c r="N400" s="399"/>
      <c r="O400" s="399"/>
      <c r="P400" s="399"/>
      <c r="Q400" s="399"/>
      <c r="R400" s="158"/>
      <c r="S400" s="403"/>
    </row>
    <row r="401" spans="3:19">
      <c r="C401" s="132" t="s">
        <v>511</v>
      </c>
      <c r="D401" s="396" t="s">
        <v>1202</v>
      </c>
      <c r="E401" s="8"/>
      <c r="F401" s="398"/>
      <c r="G401" s="399"/>
      <c r="H401" s="399"/>
      <c r="I401" s="399"/>
      <c r="J401" s="399"/>
      <c r="K401" s="399"/>
      <c r="L401" s="399"/>
      <c r="M401" s="399"/>
      <c r="N401" s="399"/>
      <c r="O401" s="399"/>
      <c r="P401" s="399"/>
      <c r="Q401" s="399"/>
      <c r="R401" s="158"/>
      <c r="S401" s="403"/>
    </row>
    <row r="402" spans="3:19">
      <c r="D402" s="403" t="s">
        <v>512</v>
      </c>
      <c r="E402" s="8" t="s">
        <v>1199</v>
      </c>
      <c r="F402" s="398"/>
      <c r="G402" s="399"/>
      <c r="H402" s="399"/>
      <c r="I402" s="399"/>
      <c r="J402" s="399"/>
      <c r="K402" s="399"/>
      <c r="L402" s="399"/>
      <c r="M402" s="399"/>
      <c r="N402" s="399"/>
      <c r="O402" s="399"/>
      <c r="P402" s="399"/>
      <c r="Q402" s="399"/>
      <c r="R402" s="157">
        <f>4*1</f>
        <v>4</v>
      </c>
      <c r="S402" s="156" t="s">
        <v>352</v>
      </c>
    </row>
    <row r="403" spans="3:19">
      <c r="D403" s="403" t="s">
        <v>513</v>
      </c>
      <c r="E403" s="8" t="s">
        <v>1200</v>
      </c>
      <c r="F403" s="398"/>
      <c r="G403" s="399"/>
      <c r="H403" s="399"/>
      <c r="I403" s="399"/>
      <c r="J403" s="399"/>
      <c r="K403" s="399"/>
      <c r="L403" s="399"/>
      <c r="M403" s="399"/>
      <c r="N403" s="399"/>
      <c r="O403" s="399"/>
      <c r="P403" s="399"/>
      <c r="Q403" s="399"/>
      <c r="R403" s="157">
        <f>8*1*1</f>
        <v>8</v>
      </c>
      <c r="S403" s="156" t="s">
        <v>352</v>
      </c>
    </row>
    <row r="404" spans="3:19">
      <c r="D404" s="403" t="s">
        <v>514</v>
      </c>
      <c r="E404" s="8" t="s">
        <v>1201</v>
      </c>
      <c r="F404" s="398"/>
      <c r="G404" s="399"/>
      <c r="H404" s="399"/>
      <c r="I404" s="399"/>
      <c r="J404" s="399"/>
      <c r="K404" s="399"/>
      <c r="L404" s="399"/>
      <c r="M404" s="399"/>
      <c r="N404" s="399"/>
      <c r="O404" s="399"/>
      <c r="P404" s="399"/>
      <c r="Q404" s="399"/>
      <c r="R404" s="157">
        <f>8*1*1</f>
        <v>8</v>
      </c>
      <c r="S404" s="156" t="s">
        <v>352</v>
      </c>
    </row>
    <row r="405" spans="3:19">
      <c r="D405" s="403"/>
      <c r="E405" s="86"/>
      <c r="F405" s="395"/>
      <c r="G405" s="395"/>
      <c r="H405" s="395"/>
      <c r="I405" s="395"/>
      <c r="J405" s="395"/>
      <c r="K405" s="395"/>
      <c r="L405" s="395"/>
      <c r="M405" s="395"/>
      <c r="N405" s="395"/>
      <c r="O405" s="395"/>
      <c r="P405" s="395"/>
      <c r="Q405" s="395"/>
      <c r="R405" s="158"/>
      <c r="S405" s="403"/>
    </row>
    <row r="406" spans="3:19">
      <c r="D406" s="403"/>
      <c r="E406" s="123"/>
      <c r="F406" s="395"/>
      <c r="G406" s="395"/>
      <c r="H406" s="395"/>
      <c r="I406" s="395"/>
      <c r="J406" s="395"/>
      <c r="K406" s="395"/>
      <c r="L406" s="395"/>
      <c r="M406" s="395"/>
      <c r="N406" s="395"/>
      <c r="O406" s="395"/>
      <c r="P406" s="395"/>
      <c r="Q406" s="395"/>
      <c r="R406" s="158"/>
      <c r="S406" s="403"/>
    </row>
    <row r="407" spans="3:19" ht="15">
      <c r="C407" s="651">
        <v>7</v>
      </c>
      <c r="D407" s="655" t="s">
        <v>1142</v>
      </c>
      <c r="E407" s="123"/>
      <c r="F407" s="395"/>
      <c r="G407" s="395"/>
      <c r="H407" s="395"/>
      <c r="I407" s="395"/>
      <c r="J407" s="395"/>
      <c r="K407" s="395"/>
      <c r="L407" s="395"/>
      <c r="M407" s="395"/>
      <c r="N407" s="395"/>
      <c r="O407" s="395"/>
      <c r="P407" s="395"/>
      <c r="Q407" s="395"/>
      <c r="R407" s="158"/>
      <c r="S407" s="403"/>
    </row>
    <row r="408" spans="3:19">
      <c r="C408" s="117"/>
      <c r="D408" s="396"/>
      <c r="E408" s="123"/>
      <c r="F408" s="395"/>
      <c r="G408" s="395"/>
      <c r="H408" s="395"/>
      <c r="I408" s="395"/>
      <c r="J408" s="395"/>
      <c r="K408" s="395"/>
      <c r="L408" s="395"/>
      <c r="M408" s="395"/>
      <c r="N408" s="395"/>
      <c r="O408" s="395"/>
      <c r="P408" s="395"/>
      <c r="Q408" s="395"/>
      <c r="R408" s="158"/>
      <c r="S408" s="403"/>
    </row>
    <row r="409" spans="3:19">
      <c r="C409" s="132" t="s">
        <v>290</v>
      </c>
      <c r="D409" s="396" t="s">
        <v>358</v>
      </c>
      <c r="E409" s="123"/>
      <c r="F409" s="395"/>
      <c r="G409" s="395"/>
      <c r="H409" s="395"/>
      <c r="I409" s="395"/>
      <c r="J409" s="395"/>
      <c r="K409" s="395"/>
      <c r="L409" s="395"/>
      <c r="M409" s="395"/>
      <c r="N409" s="395"/>
      <c r="O409" s="395"/>
      <c r="P409" s="395"/>
      <c r="Q409" s="395"/>
      <c r="R409" s="158"/>
      <c r="S409" s="403"/>
    </row>
    <row r="410" spans="3:19">
      <c r="D410" s="403" t="s">
        <v>520</v>
      </c>
      <c r="E410" s="123" t="s">
        <v>1208</v>
      </c>
      <c r="F410" s="395"/>
      <c r="G410" s="395"/>
      <c r="H410" s="395"/>
      <c r="I410" s="395"/>
      <c r="J410" s="395"/>
      <c r="K410" s="395"/>
      <c r="L410" s="395"/>
      <c r="M410" s="395"/>
      <c r="N410" s="395"/>
      <c r="O410" s="395"/>
      <c r="P410" s="395"/>
      <c r="Q410" s="395"/>
      <c r="R410" s="157">
        <f>4*2</f>
        <v>8</v>
      </c>
      <c r="S410" s="11" t="s">
        <v>352</v>
      </c>
    </row>
    <row r="411" spans="3:19">
      <c r="D411" s="403" t="s">
        <v>521</v>
      </c>
      <c r="E411" s="8" t="s">
        <v>1177</v>
      </c>
      <c r="F411" s="398"/>
      <c r="G411" s="399"/>
      <c r="H411" s="399"/>
      <c r="I411" s="399"/>
      <c r="J411" s="399"/>
      <c r="K411" s="399"/>
      <c r="L411" s="399"/>
      <c r="M411" s="399"/>
      <c r="N411" s="399"/>
      <c r="O411" s="399"/>
      <c r="P411" s="399"/>
      <c r="Q411" s="399"/>
      <c r="R411" s="157">
        <f>8*2</f>
        <v>16</v>
      </c>
      <c r="S411" s="11" t="s">
        <v>352</v>
      </c>
    </row>
    <row r="412" spans="3:19">
      <c r="D412" s="403" t="s">
        <v>522</v>
      </c>
      <c r="E412" s="8" t="s">
        <v>1161</v>
      </c>
      <c r="F412" s="398"/>
      <c r="G412" s="399"/>
      <c r="H412" s="399"/>
      <c r="I412" s="399"/>
      <c r="J412" s="399"/>
      <c r="K412" s="399"/>
      <c r="L412" s="399"/>
      <c r="M412" s="399"/>
      <c r="N412" s="399"/>
      <c r="O412" s="399"/>
      <c r="P412" s="399"/>
      <c r="Q412" s="399"/>
      <c r="R412" s="157">
        <f t="shared" ref="R412:R414" si="8">8*2</f>
        <v>16</v>
      </c>
      <c r="S412" s="11" t="s">
        <v>352</v>
      </c>
    </row>
    <row r="413" spans="3:19">
      <c r="D413" s="403" t="s">
        <v>523</v>
      </c>
      <c r="E413" s="8" t="s">
        <v>1162</v>
      </c>
      <c r="F413" s="398"/>
      <c r="G413" s="399"/>
      <c r="H413" s="399"/>
      <c r="I413" s="399"/>
      <c r="J413" s="399"/>
      <c r="K413" s="399"/>
      <c r="L413" s="399"/>
      <c r="M413" s="399"/>
      <c r="N413" s="399"/>
      <c r="O413" s="399"/>
      <c r="P413" s="399"/>
      <c r="Q413" s="399"/>
      <c r="R413" s="157">
        <f t="shared" si="8"/>
        <v>16</v>
      </c>
      <c r="S413" s="11" t="s">
        <v>352</v>
      </c>
    </row>
    <row r="414" spans="3:19">
      <c r="D414" s="403" t="s">
        <v>524</v>
      </c>
      <c r="E414" s="8" t="s">
        <v>1179</v>
      </c>
      <c r="F414" s="398"/>
      <c r="G414" s="399"/>
      <c r="H414" s="399"/>
      <c r="I414" s="399"/>
      <c r="J414" s="399"/>
      <c r="K414" s="399"/>
      <c r="L414" s="399"/>
      <c r="M414" s="399"/>
      <c r="N414" s="399"/>
      <c r="O414" s="399"/>
      <c r="P414" s="399"/>
      <c r="Q414" s="399"/>
      <c r="R414" s="157">
        <f t="shared" si="8"/>
        <v>16</v>
      </c>
      <c r="S414" s="11" t="s">
        <v>352</v>
      </c>
    </row>
    <row r="415" spans="3:19">
      <c r="D415" s="403"/>
      <c r="E415" s="8"/>
      <c r="F415" s="395"/>
      <c r="G415" s="395"/>
      <c r="H415" s="395"/>
      <c r="I415" s="395"/>
      <c r="J415" s="395"/>
      <c r="K415" s="395"/>
      <c r="L415" s="395"/>
      <c r="M415" s="395"/>
      <c r="N415" s="395"/>
      <c r="O415" s="395"/>
      <c r="P415" s="395"/>
      <c r="Q415" s="399"/>
      <c r="R415" s="158"/>
      <c r="S415" s="403"/>
    </row>
    <row r="416" spans="3:19">
      <c r="C416" s="132" t="s">
        <v>962</v>
      </c>
      <c r="D416" s="396" t="s">
        <v>1202</v>
      </c>
      <c r="E416" s="8"/>
      <c r="F416" s="398"/>
      <c r="G416" s="399"/>
      <c r="H416" s="399"/>
      <c r="I416" s="399"/>
      <c r="J416" s="399"/>
      <c r="K416" s="399"/>
      <c r="L416" s="399"/>
      <c r="M416" s="399"/>
      <c r="N416" s="399"/>
      <c r="O416" s="399"/>
      <c r="P416" s="399"/>
      <c r="Q416" s="399"/>
      <c r="R416" s="158"/>
      <c r="S416" s="403"/>
    </row>
    <row r="417" spans="3:22">
      <c r="D417" s="403" t="s">
        <v>963</v>
      </c>
      <c r="E417" s="8" t="s">
        <v>1199</v>
      </c>
      <c r="F417" s="398"/>
      <c r="G417" s="399"/>
      <c r="H417" s="399"/>
      <c r="I417" s="399"/>
      <c r="J417" s="399"/>
      <c r="K417" s="399"/>
      <c r="L417" s="399"/>
      <c r="M417" s="399"/>
      <c r="N417" s="399"/>
      <c r="O417" s="399"/>
      <c r="P417" s="399"/>
      <c r="Q417" s="399"/>
      <c r="R417" s="157">
        <f>4*1</f>
        <v>4</v>
      </c>
      <c r="S417" s="156" t="s">
        <v>352</v>
      </c>
    </row>
    <row r="418" spans="3:22">
      <c r="D418" s="403" t="s">
        <v>964</v>
      </c>
      <c r="E418" s="8" t="s">
        <v>1200</v>
      </c>
      <c r="F418" s="398"/>
      <c r="G418" s="399"/>
      <c r="H418" s="399"/>
      <c r="I418" s="399"/>
      <c r="J418" s="399"/>
      <c r="K418" s="399"/>
      <c r="L418" s="399"/>
      <c r="M418" s="399"/>
      <c r="N418" s="399"/>
      <c r="O418" s="399"/>
      <c r="P418" s="399"/>
      <c r="Q418" s="399"/>
      <c r="R418" s="157">
        <f>8*1*1</f>
        <v>8</v>
      </c>
      <c r="S418" s="156" t="s">
        <v>352</v>
      </c>
    </row>
    <row r="419" spans="3:22">
      <c r="D419" s="403" t="s">
        <v>965</v>
      </c>
      <c r="E419" s="8" t="s">
        <v>1201</v>
      </c>
      <c r="F419" s="398"/>
      <c r="G419" s="399"/>
      <c r="H419" s="399"/>
      <c r="I419" s="399"/>
      <c r="J419" s="399"/>
      <c r="K419" s="399"/>
      <c r="L419" s="399"/>
      <c r="M419" s="399"/>
      <c r="N419" s="399"/>
      <c r="O419" s="399"/>
      <c r="P419" s="399"/>
      <c r="Q419" s="399"/>
      <c r="R419" s="157">
        <f>8*1*1</f>
        <v>8</v>
      </c>
      <c r="S419" s="156" t="s">
        <v>352</v>
      </c>
    </row>
    <row r="420" spans="3:22">
      <c r="D420" s="403"/>
      <c r="E420" s="8"/>
      <c r="F420" s="395"/>
      <c r="G420" s="395"/>
      <c r="H420" s="395"/>
      <c r="I420" s="395"/>
      <c r="J420" s="395"/>
      <c r="K420" s="395"/>
      <c r="L420" s="395"/>
      <c r="M420" s="395"/>
      <c r="N420" s="395"/>
      <c r="O420" s="395"/>
      <c r="P420" s="395"/>
      <c r="Q420" s="399"/>
      <c r="R420" s="158"/>
      <c r="S420" s="403"/>
    </row>
    <row r="421" spans="3:22">
      <c r="Q421" s="395"/>
      <c r="R421" s="158"/>
    </row>
    <row r="422" spans="3:22">
      <c r="Q422" s="395"/>
      <c r="R422" s="158"/>
    </row>
    <row r="423" spans="3:22" ht="15">
      <c r="C423" s="739">
        <v>8</v>
      </c>
      <c r="D423" s="732" t="s">
        <v>1466</v>
      </c>
      <c r="E423" s="8"/>
      <c r="F423" s="398"/>
      <c r="G423" s="399"/>
      <c r="H423" s="399"/>
      <c r="I423" s="399"/>
      <c r="J423" s="399"/>
      <c r="K423" s="399"/>
      <c r="L423" s="399"/>
      <c r="M423" s="399"/>
      <c r="N423" s="399"/>
      <c r="O423" s="399"/>
      <c r="P423" s="399"/>
      <c r="Q423" s="399"/>
      <c r="R423" s="158"/>
      <c r="S423" s="156"/>
      <c r="T423" s="9"/>
      <c r="U423" s="10"/>
      <c r="V423" s="10"/>
    </row>
    <row r="424" spans="3:22">
      <c r="C424" s="141"/>
      <c r="D424" s="397"/>
      <c r="E424" s="179"/>
      <c r="F424" s="399"/>
      <c r="G424" s="399"/>
      <c r="H424" s="399"/>
      <c r="I424" s="399"/>
      <c r="J424" s="399"/>
      <c r="K424" s="399"/>
      <c r="L424" s="399"/>
      <c r="M424" s="399"/>
      <c r="N424" s="399"/>
      <c r="O424" s="399"/>
      <c r="P424" s="399"/>
      <c r="Q424" s="399"/>
      <c r="R424" s="158"/>
      <c r="S424" s="503"/>
      <c r="T424" s="179"/>
      <c r="U424" s="179"/>
      <c r="V424" s="9"/>
    </row>
    <row r="425" spans="3:22">
      <c r="C425" s="1011" t="s">
        <v>131</v>
      </c>
      <c r="D425" s="1012"/>
      <c r="E425" s="1012"/>
      <c r="F425" s="1012"/>
      <c r="G425" s="1012"/>
      <c r="H425" s="1012"/>
      <c r="I425" s="1012"/>
      <c r="J425" s="1012"/>
      <c r="K425" s="1012"/>
      <c r="L425" s="1012"/>
      <c r="M425" s="1012"/>
      <c r="N425" s="1012"/>
      <c r="O425" s="1012"/>
      <c r="P425" s="1012"/>
      <c r="Q425" s="1012"/>
      <c r="R425" s="1012"/>
      <c r="S425" s="1012"/>
      <c r="T425" s="1012"/>
      <c r="U425" s="1012"/>
      <c r="V425" s="1013"/>
    </row>
    <row r="426" spans="3:22">
      <c r="C426" s="1047" t="s">
        <v>260</v>
      </c>
      <c r="D426" s="1048"/>
      <c r="E426" s="1048"/>
      <c r="F426" s="1048"/>
      <c r="G426" s="1048"/>
      <c r="H426" s="1048"/>
      <c r="I426" s="1048"/>
      <c r="J426" s="1048"/>
      <c r="K426" s="1048"/>
      <c r="L426" s="1048"/>
      <c r="M426" s="1048"/>
      <c r="N426" s="1048"/>
      <c r="O426" s="1048"/>
      <c r="P426" s="1048"/>
      <c r="Q426" s="1048"/>
      <c r="R426" s="1048"/>
      <c r="S426" s="1048"/>
      <c r="T426" s="1048"/>
      <c r="U426" s="1048"/>
      <c r="V426" s="1049"/>
    </row>
    <row r="427" spans="3:22">
      <c r="C427" s="1050"/>
      <c r="D427" s="1051"/>
      <c r="E427" s="1051"/>
      <c r="F427" s="1051"/>
      <c r="G427" s="1051"/>
      <c r="H427" s="1051"/>
      <c r="I427" s="1051"/>
      <c r="J427" s="1051"/>
      <c r="K427" s="1051"/>
      <c r="L427" s="1051"/>
      <c r="M427" s="1051"/>
      <c r="N427" s="1051"/>
      <c r="O427" s="1051"/>
      <c r="P427" s="1051"/>
      <c r="Q427" s="1051"/>
      <c r="R427" s="1051"/>
      <c r="S427" s="1051"/>
      <c r="T427" s="1051"/>
      <c r="U427" s="1051"/>
      <c r="V427" s="1052"/>
    </row>
    <row r="428" spans="3:22">
      <c r="C428" s="1053" t="s">
        <v>27</v>
      </c>
      <c r="D428" s="1054"/>
      <c r="E428" s="1054"/>
      <c r="F428" s="1054"/>
      <c r="G428" s="1054"/>
      <c r="H428" s="1055"/>
      <c r="I428" s="1053" t="s">
        <v>30</v>
      </c>
      <c r="J428" s="1055"/>
      <c r="K428" s="1053" t="s">
        <v>20</v>
      </c>
      <c r="L428" s="1055"/>
      <c r="M428" s="1053" t="s">
        <v>152</v>
      </c>
      <c r="N428" s="1055"/>
      <c r="O428" s="1053" t="s">
        <v>47</v>
      </c>
      <c r="P428" s="1055"/>
      <c r="Q428" s="1053" t="s">
        <v>48</v>
      </c>
      <c r="R428" s="1055"/>
      <c r="S428" s="1053" t="s">
        <v>33</v>
      </c>
      <c r="T428" s="1055"/>
      <c r="U428" s="1053" t="s">
        <v>46</v>
      </c>
      <c r="V428" s="1055"/>
    </row>
    <row r="429" spans="3:22">
      <c r="C429" s="1056"/>
      <c r="D429" s="1057"/>
      <c r="E429" s="1057"/>
      <c r="F429" s="1057"/>
      <c r="G429" s="1057"/>
      <c r="H429" s="1058"/>
      <c r="I429" s="1056"/>
      <c r="J429" s="1058"/>
      <c r="K429" s="1056"/>
      <c r="L429" s="1058"/>
      <c r="M429" s="1056"/>
      <c r="N429" s="1058"/>
      <c r="O429" s="1056"/>
      <c r="P429" s="1058"/>
      <c r="Q429" s="1056"/>
      <c r="R429" s="1058"/>
      <c r="S429" s="1056"/>
      <c r="T429" s="1058"/>
      <c r="U429" s="1056"/>
      <c r="V429" s="1058"/>
    </row>
    <row r="430" spans="3:22">
      <c r="C430" s="1043" t="s">
        <v>238</v>
      </c>
      <c r="D430" s="1044"/>
      <c r="E430" s="1044"/>
      <c r="F430" s="1044"/>
      <c r="G430" s="1044"/>
      <c r="H430" s="1044"/>
      <c r="I430" s="144"/>
      <c r="J430" s="463"/>
      <c r="K430" s="463"/>
      <c r="L430" s="463"/>
      <c r="M430" s="464"/>
      <c r="N430" s="465"/>
      <c r="O430" s="464"/>
      <c r="P430" s="464"/>
      <c r="Q430" s="465"/>
      <c r="R430" s="153"/>
      <c r="S430" s="500"/>
      <c r="T430" s="463"/>
      <c r="U430" s="463"/>
      <c r="V430" s="466"/>
    </row>
    <row r="431" spans="3:22">
      <c r="C431" s="1031"/>
      <c r="D431" s="1094"/>
      <c r="E431" s="1094"/>
      <c r="F431" s="1094"/>
      <c r="G431" s="1094"/>
      <c r="H431" s="1094"/>
      <c r="I431" s="1035">
        <v>7</v>
      </c>
      <c r="J431" s="1036"/>
      <c r="K431" s="1039">
        <v>2</v>
      </c>
      <c r="L431" s="1030" t="s">
        <v>0</v>
      </c>
      <c r="M431" s="1039">
        <v>2</v>
      </c>
      <c r="N431" s="1030" t="s">
        <v>0</v>
      </c>
      <c r="O431" s="1041">
        <f>O193</f>
        <v>1.5</v>
      </c>
      <c r="P431" s="1030" t="s">
        <v>0</v>
      </c>
      <c r="Q431" s="1039">
        <f>I431*K431*M431</f>
        <v>28</v>
      </c>
      <c r="R431" s="1026" t="s">
        <v>17</v>
      </c>
      <c r="S431" s="1028">
        <f>(I431*K431*M431*O431)*1.2</f>
        <v>50.4</v>
      </c>
      <c r="T431" s="1030" t="s">
        <v>18</v>
      </c>
      <c r="U431" s="1031" t="s">
        <v>28</v>
      </c>
      <c r="V431" s="1032"/>
    </row>
    <row r="432" spans="3:22">
      <c r="C432" s="1033"/>
      <c r="D432" s="1046"/>
      <c r="E432" s="1046"/>
      <c r="F432" s="1046"/>
      <c r="G432" s="1046"/>
      <c r="H432" s="1046"/>
      <c r="I432" s="1037"/>
      <c r="J432" s="1038"/>
      <c r="K432" s="1040"/>
      <c r="L432" s="1002"/>
      <c r="M432" s="1040"/>
      <c r="N432" s="1002"/>
      <c r="O432" s="1042"/>
      <c r="P432" s="1002"/>
      <c r="Q432" s="1040"/>
      <c r="R432" s="1027"/>
      <c r="S432" s="1029"/>
      <c r="T432" s="1002"/>
      <c r="U432" s="1033"/>
      <c r="V432" s="1034"/>
    </row>
    <row r="433" spans="3:27">
      <c r="C433" s="538"/>
      <c r="D433" s="538"/>
      <c r="E433" s="538"/>
      <c r="F433" s="538"/>
      <c r="G433" s="538"/>
      <c r="H433" s="538"/>
      <c r="I433" s="538"/>
      <c r="J433" s="538"/>
      <c r="K433" s="538"/>
      <c r="L433" s="538"/>
      <c r="M433" s="538"/>
      <c r="N433" s="538"/>
      <c r="O433" s="538"/>
      <c r="P433" s="538"/>
      <c r="Q433" s="538"/>
      <c r="R433" s="538"/>
      <c r="S433" s="538"/>
      <c r="T433" s="538"/>
      <c r="U433" s="538"/>
      <c r="V433" s="538"/>
    </row>
    <row r="434" spans="3:27">
      <c r="C434" s="132" t="s">
        <v>292</v>
      </c>
      <c r="D434" s="476" t="str">
        <f>'Planilha Orçamentária'!B218</f>
        <v>Sinalização de Segurança</v>
      </c>
      <c r="E434" s="477"/>
      <c r="F434" s="478"/>
      <c r="G434" s="478"/>
      <c r="H434" s="478"/>
      <c r="I434" s="478"/>
      <c r="J434" s="478"/>
      <c r="K434" s="478"/>
      <c r="L434" s="478"/>
      <c r="M434" s="478"/>
      <c r="N434" s="478"/>
      <c r="O434" s="479"/>
      <c r="P434" s="9"/>
      <c r="Q434" s="10"/>
      <c r="R434" s="11"/>
      <c r="S434" s="11"/>
    </row>
    <row r="435" spans="3:27">
      <c r="D435" s="174"/>
      <c r="E435" s="174"/>
      <c r="F435" s="475"/>
      <c r="G435" s="475"/>
      <c r="H435" s="475"/>
      <c r="I435" s="475"/>
      <c r="J435" s="475"/>
      <c r="K435" s="475"/>
      <c r="L435" s="475"/>
      <c r="M435" s="475"/>
      <c r="N435" s="475"/>
      <c r="O435" s="475"/>
      <c r="P435" s="443"/>
      <c r="Q435" s="443"/>
      <c r="R435" s="403"/>
      <c r="S435" s="403"/>
    </row>
    <row r="436" spans="3:27">
      <c r="D436" s="31" t="s">
        <v>528</v>
      </c>
      <c r="E436" s="173" t="s">
        <v>37</v>
      </c>
      <c r="F436" s="443"/>
      <c r="G436" s="443"/>
      <c r="H436" s="443"/>
      <c r="I436" s="443"/>
      <c r="J436" s="443"/>
      <c r="K436" s="443"/>
      <c r="L436" s="443"/>
      <c r="M436" s="443"/>
      <c r="N436" s="443"/>
      <c r="O436" s="443"/>
      <c r="P436" s="443"/>
      <c r="Q436" s="443"/>
      <c r="R436" s="158"/>
    </row>
    <row r="437" spans="3:27" ht="12.75" customHeight="1">
      <c r="D437" s="162"/>
      <c r="E437" s="163"/>
      <c r="F437" s="86"/>
      <c r="G437" s="86"/>
      <c r="H437" s="86"/>
      <c r="I437" s="86"/>
      <c r="J437" s="86"/>
      <c r="K437" s="86"/>
      <c r="L437" s="86"/>
      <c r="M437" s="86"/>
      <c r="N437" s="86"/>
      <c r="O437" s="86"/>
      <c r="P437" s="86"/>
      <c r="Q437" s="86"/>
      <c r="R437" s="158"/>
      <c r="U437" s="442"/>
      <c r="V437" s="443"/>
      <c r="W437" s="443"/>
      <c r="X437" s="443"/>
      <c r="Y437" s="443"/>
      <c r="Z437" s="443"/>
      <c r="AA437" s="443"/>
    </row>
    <row r="438" spans="3:27">
      <c r="F438" s="982" t="s">
        <v>191</v>
      </c>
      <c r="G438" s="983"/>
      <c r="H438" s="983"/>
      <c r="I438" s="983"/>
      <c r="J438" s="983"/>
      <c r="K438" s="995"/>
      <c r="L438" s="997" t="s">
        <v>192</v>
      </c>
      <c r="M438" s="999">
        <v>12</v>
      </c>
      <c r="N438" s="1001" t="s">
        <v>193</v>
      </c>
      <c r="U438" s="155"/>
      <c r="V438" s="450"/>
      <c r="W438" s="450"/>
      <c r="X438" s="450"/>
      <c r="Y438" s="450"/>
      <c r="Z438" s="450"/>
      <c r="AA438" s="450"/>
    </row>
    <row r="439" spans="3:27">
      <c r="F439" s="984"/>
      <c r="G439" s="985"/>
      <c r="H439" s="985"/>
      <c r="I439" s="985"/>
      <c r="J439" s="985"/>
      <c r="K439" s="996"/>
      <c r="L439" s="998"/>
      <c r="M439" s="1000"/>
      <c r="N439" s="1002"/>
    </row>
    <row r="440" spans="3:27" ht="12.75" customHeight="1"/>
    <row r="441" spans="3:27">
      <c r="F441" s="974" t="s">
        <v>194</v>
      </c>
      <c r="G441" s="975"/>
      <c r="H441" s="975"/>
      <c r="I441" s="975"/>
      <c r="J441" s="976"/>
      <c r="K441" s="982" t="s">
        <v>259</v>
      </c>
      <c r="L441" s="983"/>
      <c r="M441" s="983"/>
      <c r="N441" s="983"/>
      <c r="O441" s="983"/>
      <c r="P441" s="983"/>
      <c r="Q441" s="995"/>
      <c r="R441" s="136"/>
      <c r="S441" s="11"/>
    </row>
    <row r="442" spans="3:27" ht="12.75" customHeight="1">
      <c r="F442" s="10"/>
      <c r="G442" s="10"/>
      <c r="H442" s="10"/>
      <c r="I442" s="10"/>
      <c r="J442" s="10"/>
      <c r="K442" s="10"/>
      <c r="L442" s="10"/>
      <c r="M442" s="10"/>
      <c r="N442" s="10"/>
      <c r="O442" s="10"/>
      <c r="P442" s="10"/>
      <c r="Q442" s="10"/>
      <c r="R442" s="11"/>
      <c r="S442" s="11"/>
    </row>
    <row r="443" spans="3:27" ht="12.75" customHeight="1">
      <c r="F443" s="10"/>
      <c r="G443" s="10"/>
      <c r="H443" s="10"/>
      <c r="I443" s="10"/>
      <c r="J443" s="10"/>
      <c r="K443" s="982" t="s">
        <v>1183</v>
      </c>
      <c r="L443" s="983"/>
      <c r="M443" s="983"/>
      <c r="N443" s="983"/>
      <c r="O443" s="983"/>
      <c r="P443" s="983"/>
      <c r="Q443" s="983"/>
      <c r="R443" s="11"/>
      <c r="S443" s="11"/>
    </row>
    <row r="444" spans="3:27">
      <c r="F444" s="10"/>
      <c r="G444" s="10"/>
      <c r="H444" s="10"/>
      <c r="I444" s="10"/>
      <c r="J444" s="10"/>
      <c r="K444" s="984"/>
      <c r="L444" s="985"/>
      <c r="M444" s="985"/>
      <c r="N444" s="985"/>
      <c r="O444" s="985"/>
      <c r="P444" s="985"/>
      <c r="Q444" s="985"/>
      <c r="R444" s="157">
        <f>((I431*(K431*2+M431*2))/M438)</f>
        <v>4.666666666666667</v>
      </c>
      <c r="S444" s="156" t="s">
        <v>0</v>
      </c>
    </row>
    <row r="446" spans="3:27">
      <c r="D446" s="31" t="s">
        <v>529</v>
      </c>
      <c r="E446" s="173" t="s">
        <v>36</v>
      </c>
    </row>
    <row r="448" spans="3:27" ht="12.75" customHeight="1">
      <c r="F448" s="982" t="s">
        <v>191</v>
      </c>
      <c r="G448" s="983"/>
      <c r="H448" s="983"/>
      <c r="I448" s="983"/>
      <c r="J448" s="983"/>
      <c r="K448" s="995"/>
      <c r="L448" s="997" t="s">
        <v>192</v>
      </c>
      <c r="M448" s="999">
        <v>12</v>
      </c>
      <c r="N448" s="1001" t="s">
        <v>193</v>
      </c>
      <c r="O448" s="1024"/>
      <c r="P448" s="8"/>
      <c r="Q448" s="8"/>
      <c r="R448" s="11"/>
      <c r="S448" s="11"/>
    </row>
    <row r="449" spans="3:22">
      <c r="F449" s="984"/>
      <c r="G449" s="985"/>
      <c r="H449" s="985"/>
      <c r="I449" s="985"/>
      <c r="J449" s="985"/>
      <c r="K449" s="996"/>
      <c r="L449" s="998"/>
      <c r="M449" s="1000"/>
      <c r="N449" s="1002"/>
      <c r="O449" s="1025"/>
      <c r="P449" s="8"/>
      <c r="Q449" s="8"/>
      <c r="R449" s="11"/>
      <c r="S449" s="11"/>
    </row>
    <row r="450" spans="3:22">
      <c r="F450" s="7"/>
      <c r="G450" s="7"/>
      <c r="H450" s="7"/>
      <c r="I450" s="7"/>
      <c r="J450" s="7"/>
      <c r="K450" s="7"/>
      <c r="L450" s="10"/>
      <c r="M450" s="7"/>
      <c r="N450" s="7"/>
      <c r="O450" s="7"/>
      <c r="P450" s="7"/>
      <c r="Q450" s="7"/>
      <c r="R450" s="11"/>
      <c r="S450" s="11"/>
    </row>
    <row r="451" spans="3:22" ht="12.75" customHeight="1">
      <c r="F451" s="974" t="s">
        <v>194</v>
      </c>
      <c r="G451" s="975"/>
      <c r="H451" s="975"/>
      <c r="I451" s="975"/>
      <c r="J451" s="976"/>
      <c r="K451" s="982" t="s">
        <v>259</v>
      </c>
      <c r="L451" s="983"/>
      <c r="M451" s="983"/>
      <c r="N451" s="983"/>
      <c r="O451" s="983"/>
      <c r="P451" s="983"/>
      <c r="Q451" s="995"/>
      <c r="R451" s="136"/>
      <c r="S451" s="11"/>
    </row>
    <row r="452" spans="3:22">
      <c r="F452" s="10"/>
      <c r="G452" s="10"/>
      <c r="H452" s="10"/>
      <c r="I452" s="10"/>
      <c r="J452" s="10"/>
      <c r="K452" s="10"/>
      <c r="L452" s="10"/>
      <c r="M452" s="10"/>
      <c r="N452" s="10"/>
      <c r="O452" s="10"/>
      <c r="P452" s="10"/>
      <c r="Q452" s="10"/>
      <c r="R452" s="11"/>
      <c r="S452" s="11"/>
    </row>
    <row r="453" spans="3:22" ht="12.75" customHeight="1">
      <c r="F453" s="10"/>
      <c r="G453" s="10"/>
      <c r="H453" s="10"/>
      <c r="I453" s="10"/>
      <c r="J453" s="10"/>
      <c r="K453" s="982" t="s">
        <v>1183</v>
      </c>
      <c r="L453" s="983"/>
      <c r="M453" s="983"/>
      <c r="N453" s="983"/>
      <c r="O453" s="983"/>
      <c r="P453" s="983"/>
      <c r="Q453" s="983"/>
      <c r="R453" s="11"/>
      <c r="S453" s="11"/>
    </row>
    <row r="454" spans="3:22">
      <c r="F454" s="10"/>
      <c r="G454" s="10"/>
      <c r="H454" s="10"/>
      <c r="I454" s="10"/>
      <c r="J454" s="10"/>
      <c r="K454" s="984"/>
      <c r="L454" s="985"/>
      <c r="M454" s="985"/>
      <c r="N454" s="985"/>
      <c r="O454" s="985"/>
      <c r="P454" s="985"/>
      <c r="Q454" s="985"/>
      <c r="R454" s="157">
        <f>((I431*(K431*2+M431*2))/M448)</f>
        <v>4.666666666666667</v>
      </c>
      <c r="S454" s="156" t="s">
        <v>0</v>
      </c>
    </row>
    <row r="457" spans="3:22">
      <c r="C457" s="205" t="s">
        <v>293</v>
      </c>
      <c r="D457" s="176" t="s">
        <v>427</v>
      </c>
      <c r="E457" s="177"/>
      <c r="F457" s="177"/>
      <c r="G457" s="177"/>
      <c r="H457" s="177"/>
      <c r="I457" s="177"/>
      <c r="J457" s="177"/>
      <c r="K457" s="177"/>
      <c r="L457" s="177"/>
      <c r="M457" s="177"/>
      <c r="N457" s="177"/>
      <c r="O457" s="177"/>
      <c r="P457" s="177"/>
      <c r="Q457" s="177"/>
      <c r="R457" s="205"/>
      <c r="S457" s="205"/>
      <c r="T457" s="177"/>
      <c r="U457" s="177"/>
      <c r="V457" s="178"/>
    </row>
    <row r="458" spans="3:22">
      <c r="D458" s="174"/>
      <c r="E458" s="174"/>
      <c r="F458" s="174"/>
      <c r="G458" s="174"/>
      <c r="H458" s="174"/>
      <c r="I458" s="174"/>
      <c r="J458" s="174"/>
      <c r="K458" s="174"/>
      <c r="L458" s="174"/>
      <c r="M458" s="174"/>
      <c r="N458" s="174"/>
      <c r="O458" s="174"/>
      <c r="P458" s="174"/>
      <c r="Q458" s="174"/>
      <c r="R458" s="205"/>
      <c r="S458" s="205"/>
      <c r="T458" s="174"/>
      <c r="U458" s="174"/>
      <c r="V458" s="174"/>
    </row>
    <row r="459" spans="3:22">
      <c r="D459" s="31" t="s">
        <v>530</v>
      </c>
      <c r="E459" s="173" t="s">
        <v>21</v>
      </c>
      <c r="F459" s="86"/>
      <c r="G459" s="86"/>
      <c r="H459" s="86"/>
      <c r="I459" s="86"/>
      <c r="J459" s="86"/>
      <c r="K459" s="86"/>
      <c r="L459" s="86"/>
      <c r="M459" s="86"/>
      <c r="N459" s="86"/>
      <c r="O459" s="86"/>
      <c r="P459" s="86"/>
      <c r="Q459" s="86"/>
      <c r="R459" s="158"/>
      <c r="S459" s="403"/>
    </row>
    <row r="460" spans="3:22">
      <c r="D460" s="31"/>
      <c r="E460" s="86"/>
      <c r="F460" s="86"/>
      <c r="G460" s="86"/>
      <c r="H460" s="86"/>
      <c r="I460" s="86"/>
      <c r="J460" s="86"/>
      <c r="K460" s="86"/>
      <c r="L460" s="86"/>
      <c r="M460" s="86"/>
      <c r="N460" s="86"/>
      <c r="O460" s="86"/>
      <c r="P460" s="86"/>
      <c r="Q460" s="86"/>
      <c r="R460" s="158"/>
      <c r="S460" s="403"/>
    </row>
    <row r="461" spans="3:22">
      <c r="D461" s="31"/>
      <c r="E461" s="974" t="s">
        <v>31</v>
      </c>
      <c r="F461" s="975"/>
      <c r="G461" s="975"/>
      <c r="H461" s="975"/>
      <c r="I461" s="975"/>
      <c r="J461" s="975"/>
      <c r="K461" s="975"/>
      <c r="L461" s="975"/>
      <c r="M461" s="975"/>
      <c r="N461" s="975"/>
      <c r="O461" s="975"/>
      <c r="P461" s="975"/>
      <c r="Q461" s="976"/>
      <c r="R461" s="160"/>
      <c r="S461" s="197"/>
    </row>
    <row r="462" spans="3:22">
      <c r="D462" s="31"/>
      <c r="E462" s="974" t="s">
        <v>138</v>
      </c>
      <c r="F462" s="975"/>
      <c r="G462" s="975"/>
      <c r="H462" s="975"/>
      <c r="I462" s="975"/>
      <c r="J462" s="975"/>
      <c r="K462" s="975"/>
      <c r="L462" s="975"/>
      <c r="M462" s="975"/>
      <c r="N462" s="975"/>
      <c r="O462" s="975"/>
      <c r="P462" s="975"/>
      <c r="Q462" s="978"/>
      <c r="R462" s="157">
        <f>ROUND(I431*(2*K431+2*M431),2)</f>
        <v>56</v>
      </c>
      <c r="S462" s="156" t="s">
        <v>0</v>
      </c>
    </row>
    <row r="463" spans="3:22">
      <c r="D463" s="31"/>
      <c r="E463" s="123"/>
      <c r="F463" s="123"/>
      <c r="G463" s="123"/>
      <c r="H463" s="123"/>
      <c r="I463" s="123"/>
      <c r="J463" s="123"/>
      <c r="K463" s="123"/>
      <c r="L463" s="123"/>
      <c r="M463" s="123"/>
      <c r="N463" s="123"/>
      <c r="O463" s="123"/>
      <c r="P463" s="123"/>
      <c r="Q463" s="123"/>
      <c r="R463" s="158"/>
      <c r="S463" s="403"/>
    </row>
    <row r="464" spans="3:22">
      <c r="D464" s="31"/>
      <c r="E464" s="86"/>
      <c r="F464" s="86"/>
      <c r="G464" s="86"/>
      <c r="H464" s="86"/>
      <c r="I464" s="86"/>
      <c r="J464" s="86"/>
      <c r="K464" s="86"/>
      <c r="L464" s="86"/>
      <c r="M464" s="86"/>
      <c r="N464" s="86"/>
      <c r="O464" s="86"/>
      <c r="P464" s="86"/>
      <c r="Q464" s="86"/>
      <c r="R464" s="158"/>
      <c r="S464" s="403"/>
    </row>
    <row r="465" spans="4:22">
      <c r="D465" s="31" t="s">
        <v>537</v>
      </c>
      <c r="E465" s="173" t="s">
        <v>22</v>
      </c>
      <c r="F465" s="86"/>
      <c r="G465" s="86"/>
      <c r="H465" s="86"/>
      <c r="I465" s="86"/>
      <c r="J465" s="86"/>
      <c r="K465" s="86"/>
      <c r="L465" s="86"/>
      <c r="M465" s="86"/>
      <c r="N465" s="86"/>
      <c r="O465" s="86"/>
      <c r="P465" s="86"/>
      <c r="Q465" s="86"/>
      <c r="R465" s="158"/>
      <c r="S465" s="403"/>
    </row>
    <row r="466" spans="4:22">
      <c r="D466" s="31"/>
      <c r="E466" s="86"/>
      <c r="F466" s="86"/>
      <c r="G466" s="86"/>
      <c r="H466" s="86"/>
      <c r="I466" s="86"/>
      <c r="J466" s="86"/>
      <c r="K466" s="86"/>
      <c r="L466" s="86"/>
      <c r="M466" s="86"/>
      <c r="N466" s="86"/>
      <c r="O466" s="86"/>
      <c r="P466" s="86"/>
      <c r="Q466" s="86"/>
      <c r="R466" s="158"/>
      <c r="S466" s="403"/>
    </row>
    <row r="467" spans="4:22">
      <c r="D467" s="31"/>
      <c r="E467" s="974" t="s">
        <v>32</v>
      </c>
      <c r="F467" s="975"/>
      <c r="G467" s="975"/>
      <c r="H467" s="975"/>
      <c r="I467" s="975"/>
      <c r="J467" s="975"/>
      <c r="K467" s="975"/>
      <c r="L467" s="975"/>
      <c r="M467" s="975"/>
      <c r="N467" s="975"/>
      <c r="O467" s="975"/>
      <c r="P467" s="975"/>
      <c r="Q467" s="976"/>
      <c r="R467" s="161"/>
      <c r="S467" s="11"/>
    </row>
    <row r="468" spans="4:22">
      <c r="D468" s="31"/>
      <c r="E468" s="974" t="s">
        <v>139</v>
      </c>
      <c r="F468" s="975"/>
      <c r="G468" s="975"/>
      <c r="H468" s="975"/>
      <c r="I468" s="975"/>
      <c r="J468" s="975"/>
      <c r="K468" s="975"/>
      <c r="L468" s="975"/>
      <c r="M468" s="975"/>
      <c r="N468" s="975"/>
      <c r="O468" s="975"/>
      <c r="P468" s="975"/>
      <c r="Q468" s="978"/>
      <c r="R468" s="157">
        <f>Q431</f>
        <v>28</v>
      </c>
      <c r="S468" s="156" t="s">
        <v>17</v>
      </c>
    </row>
    <row r="469" spans="4:22">
      <c r="D469" s="31"/>
      <c r="E469" s="123"/>
      <c r="F469" s="123"/>
      <c r="G469" s="123"/>
      <c r="H469" s="123"/>
      <c r="I469" s="123"/>
      <c r="J469" s="123"/>
      <c r="K469" s="123"/>
      <c r="L469" s="123"/>
      <c r="M469" s="123"/>
      <c r="N469" s="123"/>
      <c r="O469" s="123"/>
      <c r="P469" s="123"/>
      <c r="Q469" s="123"/>
      <c r="R469" s="158"/>
      <c r="S469" s="403"/>
    </row>
    <row r="470" spans="4:22">
      <c r="D470" s="31"/>
      <c r="E470" s="86"/>
      <c r="F470" s="86"/>
      <c r="G470" s="86"/>
      <c r="H470" s="86"/>
      <c r="I470" s="86"/>
      <c r="J470" s="86"/>
      <c r="K470" s="86"/>
      <c r="L470" s="86"/>
      <c r="M470" s="86"/>
      <c r="N470" s="86"/>
      <c r="O470" s="86"/>
      <c r="P470" s="86"/>
      <c r="Q470" s="86"/>
      <c r="R470" s="158"/>
      <c r="S470" s="403"/>
    </row>
    <row r="471" spans="4:22">
      <c r="D471" s="31" t="s">
        <v>538</v>
      </c>
      <c r="E471" s="173" t="s">
        <v>23</v>
      </c>
      <c r="F471" s="86"/>
      <c r="G471" s="86"/>
      <c r="H471" s="86"/>
      <c r="I471" s="86"/>
      <c r="J471" s="86"/>
      <c r="K471" s="86"/>
      <c r="L471" s="86"/>
      <c r="M471" s="86"/>
      <c r="N471" s="86"/>
      <c r="O471" s="86"/>
      <c r="P471" s="86"/>
      <c r="Q471" s="86"/>
      <c r="R471" s="158"/>
      <c r="S471" s="403"/>
    </row>
    <row r="472" spans="4:22">
      <c r="D472" s="31"/>
      <c r="E472" s="86"/>
      <c r="F472" s="86"/>
      <c r="G472" s="86"/>
      <c r="H472" s="86"/>
      <c r="I472" s="86"/>
      <c r="J472" s="86"/>
      <c r="K472" s="86"/>
      <c r="L472" s="86"/>
      <c r="M472" s="86"/>
      <c r="N472" s="86"/>
      <c r="O472" s="86"/>
      <c r="P472" s="86"/>
      <c r="Q472" s="86"/>
      <c r="R472" s="158"/>
      <c r="S472" s="403"/>
    </row>
    <row r="473" spans="4:22">
      <c r="D473" s="31"/>
      <c r="E473" s="986" t="s">
        <v>1195</v>
      </c>
      <c r="F473" s="987"/>
      <c r="G473" s="987"/>
      <c r="H473" s="987"/>
      <c r="I473" s="987"/>
      <c r="J473" s="987"/>
      <c r="K473" s="987"/>
      <c r="L473" s="987"/>
      <c r="M473" s="987"/>
      <c r="N473" s="987"/>
      <c r="O473" s="987"/>
      <c r="P473" s="987"/>
      <c r="Q473" s="988"/>
      <c r="R473" s="157">
        <f>ROUND((R468*0.05),2)</f>
        <v>1.4</v>
      </c>
      <c r="S473" s="156" t="s">
        <v>18</v>
      </c>
      <c r="U473" s="472"/>
      <c r="V473" s="473"/>
    </row>
    <row r="474" spans="4:22">
      <c r="D474" s="31"/>
      <c r="E474" s="86"/>
      <c r="F474" s="86"/>
      <c r="G474" s="86"/>
      <c r="H474" s="86"/>
      <c r="I474" s="86"/>
      <c r="J474" s="86"/>
      <c r="K474" s="86"/>
      <c r="L474" s="86"/>
      <c r="M474" s="86"/>
      <c r="N474" s="86"/>
      <c r="O474" s="86"/>
      <c r="P474" s="86"/>
      <c r="Q474" s="86"/>
      <c r="R474" s="158"/>
      <c r="S474" s="403"/>
    </row>
    <row r="475" spans="4:22">
      <c r="D475" s="31"/>
      <c r="E475" s="86"/>
      <c r="F475" s="86"/>
      <c r="G475" s="86"/>
      <c r="H475" s="86"/>
      <c r="I475" s="86"/>
      <c r="J475" s="86"/>
      <c r="K475" s="86"/>
      <c r="L475" s="86"/>
      <c r="M475" s="86"/>
      <c r="N475" s="86"/>
      <c r="O475" s="86"/>
      <c r="P475" s="86"/>
      <c r="Q475" s="86"/>
      <c r="R475" s="158"/>
      <c r="S475" s="403"/>
    </row>
    <row r="476" spans="4:22" ht="25.5" customHeight="1">
      <c r="D476" s="31" t="s">
        <v>539</v>
      </c>
      <c r="E476" s="539" t="s">
        <v>178</v>
      </c>
      <c r="F476" s="181"/>
      <c r="G476" s="181"/>
      <c r="H476" s="181"/>
      <c r="I476" s="181"/>
      <c r="J476" s="181"/>
      <c r="K476" s="181"/>
      <c r="L476" s="181"/>
      <c r="M476" s="181"/>
      <c r="N476" s="181"/>
      <c r="O476" s="181"/>
      <c r="P476" s="181"/>
      <c r="Q476" s="181"/>
      <c r="R476" s="158"/>
      <c r="S476" s="403"/>
    </row>
    <row r="477" spans="4:22">
      <c r="D477" s="31"/>
      <c r="E477" s="86"/>
      <c r="F477" s="86"/>
      <c r="G477" s="86"/>
      <c r="H477" s="86"/>
      <c r="I477" s="86"/>
      <c r="J477" s="86"/>
      <c r="K477" s="86"/>
      <c r="L477" s="86"/>
      <c r="M477" s="86"/>
      <c r="N477" s="86"/>
      <c r="O477" s="86"/>
      <c r="P477" s="86"/>
      <c r="Q477" s="86"/>
      <c r="R477" s="158"/>
      <c r="S477" s="403"/>
    </row>
    <row r="478" spans="4:22">
      <c r="D478" s="31"/>
      <c r="E478" s="979" t="s">
        <v>177</v>
      </c>
      <c r="F478" s="980"/>
      <c r="G478" s="980"/>
      <c r="H478" s="980"/>
      <c r="I478" s="980"/>
      <c r="J478" s="980"/>
      <c r="K478" s="980"/>
      <c r="L478" s="980"/>
      <c r="M478" s="980"/>
      <c r="N478" s="980"/>
      <c r="O478" s="980"/>
      <c r="P478" s="980"/>
      <c r="Q478" s="981"/>
      <c r="R478" s="157">
        <f>($I$431*10)*U478</f>
        <v>56</v>
      </c>
      <c r="S478" s="156" t="s">
        <v>179</v>
      </c>
      <c r="U478" s="170">
        <v>0.8</v>
      </c>
    </row>
    <row r="479" spans="4:22">
      <c r="D479" s="31"/>
      <c r="E479" s="86"/>
      <c r="F479" s="86"/>
      <c r="G479" s="86"/>
      <c r="H479" s="86"/>
      <c r="I479" s="86"/>
      <c r="J479" s="86"/>
      <c r="K479" s="86"/>
      <c r="L479" s="86"/>
      <c r="M479" s="86"/>
      <c r="N479" s="86"/>
      <c r="O479" s="86"/>
      <c r="P479" s="86"/>
      <c r="Q479" s="86"/>
      <c r="R479" s="158"/>
      <c r="S479" s="403"/>
    </row>
    <row r="480" spans="4:22">
      <c r="D480" s="31"/>
      <c r="E480" s="86"/>
      <c r="F480" s="86"/>
      <c r="G480" s="86"/>
      <c r="H480" s="86"/>
      <c r="I480" s="86"/>
      <c r="J480" s="86"/>
      <c r="K480" s="86"/>
      <c r="L480" s="86"/>
      <c r="M480" s="86"/>
      <c r="N480" s="86"/>
      <c r="O480" s="86"/>
      <c r="P480" s="86"/>
      <c r="Q480" s="86"/>
      <c r="R480" s="158"/>
      <c r="S480" s="403"/>
    </row>
    <row r="481" spans="4:21" ht="25.5" customHeight="1">
      <c r="D481" s="31" t="s">
        <v>540</v>
      </c>
      <c r="E481" s="539" t="s">
        <v>178</v>
      </c>
      <c r="F481" s="181"/>
      <c r="G481" s="181"/>
      <c r="H481" s="181"/>
      <c r="I481" s="181"/>
      <c r="J481" s="181"/>
      <c r="K481" s="181"/>
      <c r="L481" s="181"/>
      <c r="M481" s="181"/>
      <c r="N481" s="181"/>
      <c r="O481" s="181"/>
      <c r="P481" s="181"/>
      <c r="Q481" s="181"/>
      <c r="R481" s="158"/>
      <c r="S481" s="403"/>
    </row>
    <row r="482" spans="4:21">
      <c r="D482" s="31"/>
      <c r="E482" s="86"/>
      <c r="F482" s="86"/>
      <c r="G482" s="86"/>
      <c r="H482" s="86"/>
      <c r="I482" s="86"/>
      <c r="J482" s="86"/>
      <c r="K482" s="86"/>
      <c r="L482" s="86"/>
      <c r="M482" s="86"/>
      <c r="N482" s="86"/>
      <c r="O482" s="86"/>
      <c r="P482" s="86"/>
      <c r="Q482" s="86"/>
      <c r="R482" s="158"/>
      <c r="S482" s="403"/>
    </row>
    <row r="483" spans="4:21">
      <c r="D483" s="31"/>
      <c r="E483" s="979" t="s">
        <v>177</v>
      </c>
      <c r="F483" s="980"/>
      <c r="G483" s="980"/>
      <c r="H483" s="980"/>
      <c r="I483" s="980"/>
      <c r="J483" s="980"/>
      <c r="K483" s="980"/>
      <c r="L483" s="980"/>
      <c r="M483" s="980"/>
      <c r="N483" s="980"/>
      <c r="O483" s="980"/>
      <c r="P483" s="980"/>
      <c r="Q483" s="981"/>
      <c r="R483" s="157">
        <f>($I$431*10)*U483</f>
        <v>14</v>
      </c>
      <c r="S483" s="156" t="s">
        <v>180</v>
      </c>
      <c r="U483" s="170">
        <v>0.2</v>
      </c>
    </row>
    <row r="484" spans="4:21">
      <c r="D484" s="31"/>
      <c r="E484" s="537"/>
      <c r="F484" s="537"/>
      <c r="G484" s="537"/>
      <c r="H484" s="537"/>
      <c r="I484" s="537"/>
      <c r="J484" s="537"/>
      <c r="K484" s="537"/>
      <c r="L484" s="537"/>
      <c r="M484" s="537"/>
      <c r="N484" s="537"/>
      <c r="O484" s="537"/>
      <c r="P484" s="537"/>
      <c r="Q484" s="537"/>
      <c r="R484" s="158"/>
      <c r="S484" s="403"/>
      <c r="U484" s="170"/>
    </row>
    <row r="485" spans="4:21">
      <c r="D485" s="31"/>
      <c r="E485" s="537"/>
      <c r="F485" s="537"/>
      <c r="G485" s="537"/>
      <c r="H485" s="537"/>
      <c r="I485" s="537"/>
      <c r="J485" s="537"/>
      <c r="K485" s="537"/>
      <c r="L485" s="537"/>
      <c r="M485" s="537"/>
      <c r="N485" s="537"/>
      <c r="O485" s="537"/>
      <c r="P485" s="537"/>
      <c r="Q485" s="537"/>
      <c r="R485" s="158"/>
      <c r="S485" s="403"/>
      <c r="U485" s="170"/>
    </row>
    <row r="486" spans="4:21">
      <c r="D486" s="31" t="s">
        <v>541</v>
      </c>
      <c r="E486" s="86" t="s">
        <v>796</v>
      </c>
      <c r="F486" s="86"/>
      <c r="G486" s="86"/>
      <c r="H486" s="86"/>
      <c r="I486" s="86"/>
      <c r="J486" s="86"/>
      <c r="K486" s="86"/>
      <c r="L486" s="86"/>
      <c r="M486" s="86"/>
      <c r="N486" s="86"/>
      <c r="O486" s="86"/>
      <c r="P486" s="86"/>
      <c r="Q486" s="86"/>
      <c r="R486" s="403"/>
      <c r="U486" s="170"/>
    </row>
    <row r="487" spans="4:21">
      <c r="D487" s="31"/>
      <c r="E487" s="86"/>
      <c r="F487" s="86" t="s">
        <v>198</v>
      </c>
      <c r="G487" s="86"/>
      <c r="H487" s="86"/>
      <c r="I487" s="86"/>
      <c r="J487" s="86"/>
      <c r="K487" s="86"/>
      <c r="L487" s="86" t="s">
        <v>192</v>
      </c>
      <c r="M487" s="171">
        <v>0</v>
      </c>
      <c r="N487" s="172" t="s">
        <v>193</v>
      </c>
      <c r="O487" s="86"/>
      <c r="P487" s="86"/>
      <c r="Q487" s="86"/>
      <c r="R487" s="403"/>
      <c r="U487" s="170"/>
    </row>
    <row r="488" spans="4:21">
      <c r="D488" s="31"/>
      <c r="E488" s="86"/>
      <c r="F488" s="86"/>
      <c r="G488" s="86"/>
      <c r="H488" s="86"/>
      <c r="I488" s="86"/>
      <c r="J488" s="86"/>
      <c r="K488" s="86"/>
      <c r="L488" s="86"/>
      <c r="M488" s="86"/>
      <c r="N488" s="86"/>
      <c r="O488" s="86"/>
      <c r="P488" s="86"/>
      <c r="Q488" s="86"/>
      <c r="R488" s="403"/>
      <c r="U488" s="170"/>
    </row>
    <row r="489" spans="4:21">
      <c r="D489" s="31"/>
      <c r="E489" s="86"/>
      <c r="F489" s="86" t="s">
        <v>199</v>
      </c>
      <c r="G489" s="86"/>
      <c r="H489" s="86"/>
      <c r="I489" s="86"/>
      <c r="J489" s="86"/>
      <c r="K489" s="86"/>
      <c r="L489" s="86" t="s">
        <v>192</v>
      </c>
      <c r="M489" s="536">
        <f>O431</f>
        <v>1.5</v>
      </c>
      <c r="N489" s="172" t="s">
        <v>0</v>
      </c>
      <c r="O489" s="86"/>
      <c r="P489" s="86"/>
      <c r="Q489" s="86"/>
      <c r="R489" s="403"/>
      <c r="U489" s="170"/>
    </row>
    <row r="490" spans="4:21">
      <c r="D490" s="31"/>
      <c r="E490" s="86"/>
      <c r="F490" s="86"/>
      <c r="G490" s="86"/>
      <c r="H490" s="86"/>
      <c r="I490" s="86"/>
      <c r="J490" s="86"/>
      <c r="K490" s="86"/>
      <c r="L490" s="86"/>
      <c r="M490" s="86"/>
      <c r="N490" s="86"/>
      <c r="O490" s="86"/>
      <c r="P490" s="86"/>
      <c r="Q490" s="86"/>
      <c r="R490" s="403"/>
      <c r="U490" s="170"/>
    </row>
    <row r="491" spans="4:21">
      <c r="D491" s="31"/>
      <c r="E491" s="86" t="s">
        <v>1338</v>
      </c>
      <c r="F491" s="86"/>
      <c r="G491" s="86"/>
      <c r="H491" s="86"/>
      <c r="I491" s="86"/>
      <c r="J491" s="86"/>
      <c r="K491" s="86"/>
      <c r="L491" s="86"/>
      <c r="M491" s="86"/>
      <c r="N491" s="86"/>
      <c r="O491" s="86"/>
      <c r="P491" s="86"/>
      <c r="Q491" s="86"/>
      <c r="R491" s="159">
        <f>(((K431*2+M431*2)*M489)*I431)</f>
        <v>84</v>
      </c>
      <c r="S491" s="156" t="s">
        <v>17</v>
      </c>
      <c r="U491" s="170"/>
    </row>
    <row r="492" spans="4:21">
      <c r="D492" s="31"/>
      <c r="E492" s="86"/>
      <c r="F492" s="86"/>
      <c r="G492" s="86"/>
      <c r="H492" s="86"/>
      <c r="I492" s="86"/>
      <c r="J492" s="86"/>
      <c r="K492" s="86"/>
      <c r="L492" s="86"/>
      <c r="M492" s="86"/>
      <c r="N492" s="86"/>
      <c r="O492" s="86"/>
      <c r="P492" s="86"/>
      <c r="Q492" s="86"/>
      <c r="R492" s="158"/>
      <c r="S492" s="403"/>
    </row>
    <row r="493" spans="4:21">
      <c r="D493" s="31"/>
      <c r="E493" s="86"/>
      <c r="F493" s="86"/>
      <c r="G493" s="86"/>
      <c r="H493" s="86"/>
      <c r="I493" s="86"/>
      <c r="J493" s="86"/>
      <c r="K493" s="86"/>
      <c r="L493" s="86"/>
      <c r="M493" s="86"/>
      <c r="N493" s="86"/>
      <c r="O493" s="86"/>
      <c r="P493" s="86"/>
      <c r="Q493" s="86"/>
      <c r="R493" s="158"/>
      <c r="S493" s="403"/>
    </row>
    <row r="494" spans="4:21">
      <c r="D494" s="31" t="s">
        <v>542</v>
      </c>
      <c r="E494" s="86" t="s">
        <v>1399</v>
      </c>
      <c r="F494" s="179"/>
      <c r="G494" s="179"/>
      <c r="H494" s="179"/>
      <c r="I494" s="179"/>
      <c r="J494" s="179"/>
      <c r="K494" s="179"/>
      <c r="L494" s="179"/>
      <c r="M494" s="179"/>
      <c r="N494" s="179"/>
      <c r="O494" s="179"/>
      <c r="P494" s="179"/>
      <c r="Q494" s="9"/>
      <c r="R494" s="158"/>
      <c r="S494" s="403"/>
    </row>
    <row r="495" spans="4:21">
      <c r="D495" s="31"/>
      <c r="E495" s="10"/>
      <c r="F495" s="10"/>
      <c r="G495" s="10"/>
      <c r="H495" s="10"/>
      <c r="I495" s="10"/>
      <c r="J495" s="10"/>
      <c r="K495" s="10"/>
      <c r="L495" s="10"/>
      <c r="M495" s="10"/>
      <c r="N495" s="10"/>
      <c r="O495" s="10"/>
      <c r="P495" s="10"/>
      <c r="Q495" s="10"/>
      <c r="R495" s="403"/>
      <c r="U495" s="522"/>
    </row>
    <row r="496" spans="4:21">
      <c r="D496" s="31"/>
      <c r="E496" s="974" t="s">
        <v>1400</v>
      </c>
      <c r="F496" s="975"/>
      <c r="G496" s="975"/>
      <c r="H496" s="975"/>
      <c r="I496" s="975"/>
      <c r="J496" s="975"/>
      <c r="K496" s="975"/>
      <c r="L496" s="975"/>
      <c r="M496" s="975"/>
      <c r="N496" s="975"/>
      <c r="O496" s="975"/>
      <c r="P496" s="975"/>
      <c r="Q496" s="976"/>
      <c r="R496" s="157">
        <f>Q431*O431</f>
        <v>42</v>
      </c>
      <c r="S496" s="156" t="s">
        <v>18</v>
      </c>
    </row>
    <row r="497" spans="4:23">
      <c r="D497" s="31"/>
      <c r="E497" s="8"/>
      <c r="F497" s="179"/>
      <c r="G497" s="179"/>
      <c r="H497" s="179"/>
      <c r="I497" s="179"/>
      <c r="J497" s="179"/>
      <c r="K497" s="179"/>
      <c r="L497" s="179"/>
      <c r="M497" s="179"/>
      <c r="N497" s="179"/>
      <c r="O497" s="179"/>
      <c r="P497" s="179"/>
      <c r="Q497" s="179"/>
      <c r="R497" s="158"/>
      <c r="S497" s="403"/>
    </row>
    <row r="498" spans="4:23">
      <c r="D498" s="31"/>
      <c r="E498" s="86"/>
      <c r="F498" s="86"/>
      <c r="G498" s="86"/>
      <c r="H498" s="86"/>
      <c r="I498" s="86"/>
      <c r="J498" s="86"/>
      <c r="K498" s="86"/>
      <c r="L498" s="86"/>
      <c r="M498" s="86"/>
      <c r="N498" s="86"/>
      <c r="O498" s="86"/>
      <c r="P498" s="86"/>
      <c r="Q498" s="86"/>
      <c r="R498" s="158"/>
      <c r="S498" s="403"/>
    </row>
    <row r="499" spans="4:23">
      <c r="D499" s="31" t="s">
        <v>543</v>
      </c>
      <c r="E499" s="173" t="s">
        <v>96</v>
      </c>
      <c r="F499" s="86"/>
      <c r="G499" s="86"/>
      <c r="H499" s="86"/>
      <c r="I499" s="86"/>
      <c r="J499" s="86"/>
      <c r="K499" s="86"/>
      <c r="L499" s="86"/>
      <c r="M499" s="86"/>
      <c r="N499" s="86"/>
      <c r="O499" s="86"/>
      <c r="P499" s="86"/>
      <c r="Q499" s="86"/>
      <c r="R499" s="158"/>
      <c r="S499" s="403"/>
    </row>
    <row r="500" spans="4:23">
      <c r="D500" s="31"/>
      <c r="E500" s="86"/>
      <c r="F500" s="86"/>
      <c r="G500" s="86"/>
      <c r="H500" s="86"/>
      <c r="I500" s="86"/>
      <c r="J500" s="86"/>
      <c r="K500" s="86"/>
      <c r="L500" s="86"/>
      <c r="M500" s="86"/>
      <c r="N500" s="86"/>
      <c r="O500" s="86"/>
      <c r="P500" s="86"/>
      <c r="Q500" s="86"/>
      <c r="R500" s="158"/>
      <c r="S500" s="403"/>
      <c r="U500" s="472" t="s">
        <v>1191</v>
      </c>
      <c r="V500" s="236">
        <v>0.15</v>
      </c>
      <c r="W500" s="534" t="s">
        <v>0</v>
      </c>
    </row>
    <row r="501" spans="4:23">
      <c r="D501" s="31"/>
      <c r="E501" s="974" t="s">
        <v>34</v>
      </c>
      <c r="F501" s="975"/>
      <c r="G501" s="975"/>
      <c r="H501" s="975"/>
      <c r="I501" s="975"/>
      <c r="J501" s="975"/>
      <c r="K501" s="975"/>
      <c r="L501" s="975"/>
      <c r="M501" s="975"/>
      <c r="N501" s="975"/>
      <c r="O501" s="975"/>
      <c r="P501" s="975"/>
      <c r="Q501" s="976"/>
      <c r="R501" s="156"/>
      <c r="S501" s="11"/>
    </row>
    <row r="502" spans="4:23">
      <c r="D502" s="31"/>
      <c r="E502" s="974" t="s">
        <v>140</v>
      </c>
      <c r="F502" s="975"/>
      <c r="G502" s="975"/>
      <c r="H502" s="975"/>
      <c r="I502" s="975"/>
      <c r="J502" s="975"/>
      <c r="K502" s="975"/>
      <c r="L502" s="975"/>
      <c r="M502" s="975"/>
      <c r="N502" s="975"/>
      <c r="O502" s="975"/>
      <c r="P502" s="975"/>
      <c r="Q502" s="978"/>
      <c r="R502" s="157">
        <f>Q431*0.15</f>
        <v>4.2</v>
      </c>
      <c r="S502" s="156" t="s">
        <v>18</v>
      </c>
    </row>
    <row r="503" spans="4:23">
      <c r="D503" s="31"/>
      <c r="E503" s="86"/>
      <c r="F503" s="86"/>
      <c r="G503" s="86"/>
      <c r="H503" s="86"/>
      <c r="I503" s="86"/>
      <c r="J503" s="86"/>
      <c r="K503" s="86"/>
      <c r="L503" s="86"/>
      <c r="M503" s="86"/>
      <c r="N503" s="86"/>
      <c r="O503" s="86"/>
      <c r="P503" s="86"/>
      <c r="Q503" s="86"/>
      <c r="R503" s="158"/>
      <c r="S503" s="403"/>
    </row>
    <row r="504" spans="4:23">
      <c r="D504" s="31"/>
      <c r="E504" s="86"/>
      <c r="F504" s="86"/>
      <c r="G504" s="86"/>
      <c r="H504" s="86"/>
      <c r="I504" s="86"/>
      <c r="J504" s="86"/>
      <c r="K504" s="86"/>
      <c r="L504" s="86"/>
      <c r="M504" s="86"/>
      <c r="N504" s="86"/>
      <c r="O504" s="86"/>
      <c r="P504" s="86"/>
      <c r="Q504" s="86"/>
      <c r="R504" s="158"/>
      <c r="S504" s="403"/>
    </row>
    <row r="505" spans="4:23">
      <c r="D505" s="31" t="s">
        <v>544</v>
      </c>
      <c r="E505" s="173" t="s">
        <v>24</v>
      </c>
      <c r="F505" s="86"/>
      <c r="G505" s="86"/>
      <c r="H505" s="86"/>
      <c r="I505" s="86"/>
      <c r="J505" s="86"/>
      <c r="K505" s="86"/>
      <c r="L505" s="86"/>
      <c r="M505" s="86"/>
      <c r="N505" s="86"/>
      <c r="O505" s="86"/>
      <c r="P505" s="86"/>
      <c r="Q505" s="86"/>
      <c r="R505" s="158"/>
      <c r="S505" s="403"/>
    </row>
    <row r="506" spans="4:23">
      <c r="D506" s="31"/>
      <c r="E506" s="86"/>
      <c r="F506" s="86"/>
      <c r="G506" s="86"/>
      <c r="H506" s="86"/>
      <c r="I506" s="86"/>
      <c r="J506" s="86"/>
      <c r="K506" s="86"/>
      <c r="L506" s="86"/>
      <c r="M506" s="86"/>
      <c r="N506" s="86"/>
      <c r="O506" s="86"/>
      <c r="P506" s="86"/>
      <c r="Q506" s="86"/>
      <c r="R506" s="158"/>
      <c r="S506" s="403"/>
    </row>
    <row r="507" spans="4:23">
      <c r="D507" s="31"/>
      <c r="E507" s="979" t="s">
        <v>1198</v>
      </c>
      <c r="F507" s="980"/>
      <c r="G507" s="980"/>
      <c r="H507" s="980"/>
      <c r="I507" s="980"/>
      <c r="J507" s="980"/>
      <c r="K507" s="980"/>
      <c r="L507" s="980"/>
      <c r="M507" s="980"/>
      <c r="N507" s="980"/>
      <c r="O507" s="980"/>
      <c r="P507" s="980"/>
      <c r="Q507" s="981"/>
      <c r="R507" s="159">
        <f>R468</f>
        <v>28</v>
      </c>
      <c r="S507" s="498" t="s">
        <v>17</v>
      </c>
    </row>
    <row r="508" spans="4:23">
      <c r="D508" s="31"/>
      <c r="E508" s="86"/>
      <c r="F508" s="86"/>
      <c r="G508" s="86"/>
      <c r="H508" s="86"/>
      <c r="I508" s="86"/>
      <c r="J508" s="86"/>
      <c r="K508" s="86"/>
      <c r="L508" s="86"/>
      <c r="M508" s="86"/>
      <c r="N508" s="86"/>
      <c r="O508" s="86"/>
      <c r="P508" s="86"/>
      <c r="Q508" s="86"/>
      <c r="R508" s="158"/>
      <c r="S508" s="403"/>
    </row>
    <row r="509" spans="4:23">
      <c r="D509" s="31"/>
      <c r="E509" s="86"/>
      <c r="F509" s="86"/>
      <c r="G509" s="86"/>
      <c r="H509" s="86"/>
      <c r="I509" s="86"/>
      <c r="J509" s="86"/>
      <c r="K509" s="86"/>
      <c r="L509" s="86"/>
      <c r="M509" s="86"/>
      <c r="N509" s="86"/>
      <c r="O509" s="86"/>
      <c r="P509" s="86"/>
      <c r="Q509" s="86"/>
      <c r="R509" s="158"/>
      <c r="S509" s="403"/>
    </row>
    <row r="510" spans="4:23">
      <c r="D510" s="31" t="s">
        <v>1209</v>
      </c>
      <c r="E510" s="173" t="s">
        <v>353</v>
      </c>
      <c r="F510" s="86"/>
      <c r="G510" s="86"/>
      <c r="H510" s="86"/>
      <c r="I510" s="86"/>
      <c r="J510" s="86"/>
      <c r="K510" s="86"/>
      <c r="L510" s="86"/>
      <c r="M510" s="86"/>
      <c r="N510" s="86"/>
      <c r="O510" s="86"/>
      <c r="P510" s="86"/>
      <c r="Q510" s="86"/>
      <c r="R510" s="158"/>
      <c r="S510" s="403"/>
      <c r="U510" s="472" t="s">
        <v>1192</v>
      </c>
    </row>
    <row r="511" spans="4:23">
      <c r="D511" s="31"/>
      <c r="E511" s="86"/>
      <c r="F511" s="86"/>
      <c r="G511" s="86"/>
      <c r="H511" s="86"/>
      <c r="I511" s="86"/>
      <c r="J511" s="86"/>
      <c r="K511" s="86"/>
      <c r="L511" s="86"/>
      <c r="M511" s="86"/>
      <c r="N511" s="86"/>
      <c r="O511" s="86"/>
      <c r="P511" s="86"/>
      <c r="Q511" s="86"/>
      <c r="R511" s="158"/>
      <c r="S511" s="403"/>
      <c r="U511" s="236">
        <v>0.05</v>
      </c>
      <c r="V511" s="534" t="s">
        <v>0</v>
      </c>
    </row>
    <row r="512" spans="4:23">
      <c r="D512" s="31"/>
      <c r="E512" s="974" t="s">
        <v>1211</v>
      </c>
      <c r="F512" s="975"/>
      <c r="G512" s="975"/>
      <c r="H512" s="975"/>
      <c r="I512" s="975"/>
      <c r="J512" s="975"/>
      <c r="K512" s="975"/>
      <c r="L512" s="975"/>
      <c r="M512" s="975"/>
      <c r="N512" s="975"/>
      <c r="O512" s="975"/>
      <c r="P512" s="975"/>
      <c r="Q512" s="976"/>
      <c r="R512" s="157">
        <f>Q431*U511</f>
        <v>1.4000000000000001</v>
      </c>
      <c r="S512" s="156" t="s">
        <v>18</v>
      </c>
    </row>
    <row r="513" spans="3:23">
      <c r="D513" s="31"/>
      <c r="E513" s="974" t="s">
        <v>1212</v>
      </c>
      <c r="F513" s="975"/>
      <c r="G513" s="975"/>
      <c r="H513" s="975"/>
      <c r="I513" s="975"/>
      <c r="J513" s="975"/>
      <c r="K513" s="975"/>
      <c r="L513" s="975"/>
      <c r="M513" s="975"/>
      <c r="N513" s="975"/>
      <c r="O513" s="975"/>
      <c r="P513" s="975"/>
      <c r="Q513" s="975"/>
    </row>
    <row r="516" spans="3:23">
      <c r="C516" s="205" t="s">
        <v>295</v>
      </c>
      <c r="D516" s="176" t="s">
        <v>1140</v>
      </c>
      <c r="E516" s="177"/>
      <c r="F516" s="177"/>
      <c r="G516" s="177"/>
      <c r="H516" s="177"/>
      <c r="I516" s="177"/>
      <c r="J516" s="177"/>
      <c r="K516" s="177"/>
      <c r="L516" s="177"/>
      <c r="M516" s="177"/>
      <c r="N516" s="177"/>
      <c r="O516" s="177"/>
      <c r="P516" s="177"/>
      <c r="Q516" s="177"/>
      <c r="R516" s="205"/>
      <c r="S516" s="205"/>
      <c r="T516" s="177"/>
      <c r="U516" s="177"/>
      <c r="V516" s="178"/>
    </row>
    <row r="517" spans="3:23">
      <c r="D517" s="174"/>
      <c r="E517" s="174"/>
      <c r="F517" s="174"/>
      <c r="G517" s="174"/>
      <c r="H517" s="174"/>
      <c r="I517" s="174"/>
      <c r="J517" s="174"/>
      <c r="K517" s="174"/>
      <c r="L517" s="174"/>
      <c r="M517" s="174"/>
      <c r="N517" s="174"/>
      <c r="O517" s="174"/>
      <c r="P517" s="174"/>
      <c r="Q517" s="174"/>
      <c r="R517" s="205"/>
      <c r="S517" s="501"/>
      <c r="T517" s="174"/>
      <c r="U517" s="174"/>
      <c r="V517" s="174"/>
    </row>
    <row r="518" spans="3:23">
      <c r="D518" s="31" t="s">
        <v>531</v>
      </c>
      <c r="E518" s="173" t="s">
        <v>185</v>
      </c>
      <c r="R518" s="157">
        <f>1*1.5</f>
        <v>1.5</v>
      </c>
      <c r="S518" s="156" t="s">
        <v>0</v>
      </c>
      <c r="U518" s="512" t="s">
        <v>822</v>
      </c>
      <c r="V518" s="513">
        <v>0.5</v>
      </c>
      <c r="W518" s="514" t="s">
        <v>0</v>
      </c>
    </row>
    <row r="519" spans="3:23">
      <c r="D519" s="31" t="s">
        <v>552</v>
      </c>
      <c r="E519" s="173" t="s">
        <v>355</v>
      </c>
      <c r="R519" s="157">
        <f>1</f>
        <v>1</v>
      </c>
      <c r="S519" s="156" t="s">
        <v>987</v>
      </c>
      <c r="U519" s="515" t="s">
        <v>858</v>
      </c>
      <c r="V519" s="156">
        <v>0.5</v>
      </c>
      <c r="W519" s="516" t="s">
        <v>0</v>
      </c>
    </row>
    <row r="520" spans="3:23">
      <c r="D520" s="31" t="s">
        <v>553</v>
      </c>
      <c r="E520" s="173" t="s">
        <v>168</v>
      </c>
      <c r="R520" s="157">
        <f>1</f>
        <v>1</v>
      </c>
      <c r="S520" s="156" t="s">
        <v>987</v>
      </c>
      <c r="U520" s="517" t="s">
        <v>1167</v>
      </c>
      <c r="V520" s="518">
        <v>0.15</v>
      </c>
      <c r="W520" s="519" t="s">
        <v>0</v>
      </c>
    </row>
    <row r="521" spans="3:23">
      <c r="D521" s="31" t="s">
        <v>554</v>
      </c>
      <c r="E521" s="173" t="s">
        <v>119</v>
      </c>
      <c r="R521" s="157">
        <f>1*(V518*V519*V520)</f>
        <v>3.7499999999999999E-2</v>
      </c>
      <c r="S521" s="156" t="s">
        <v>18</v>
      </c>
    </row>
    <row r="522" spans="3:23">
      <c r="D522" s="31" t="s">
        <v>555</v>
      </c>
      <c r="E522" s="173" t="s">
        <v>120</v>
      </c>
      <c r="R522" s="157">
        <f>((V518*2+V519*2)*V520)*1</f>
        <v>0.3</v>
      </c>
      <c r="S522" s="156" t="s">
        <v>17</v>
      </c>
    </row>
    <row r="523" spans="3:23">
      <c r="D523" s="31" t="s">
        <v>556</v>
      </c>
      <c r="E523" s="173" t="s">
        <v>117</v>
      </c>
      <c r="R523" s="157">
        <f>R522*80</f>
        <v>24</v>
      </c>
      <c r="S523" s="156" t="s">
        <v>130</v>
      </c>
    </row>
    <row r="526" spans="3:23">
      <c r="C526" s="205" t="s">
        <v>296</v>
      </c>
      <c r="D526" s="176" t="s">
        <v>1204</v>
      </c>
      <c r="E526" s="177"/>
      <c r="F526" s="177"/>
      <c r="G526" s="177"/>
      <c r="H526" s="177"/>
      <c r="I526" s="177"/>
      <c r="J526" s="177"/>
      <c r="K526" s="177"/>
      <c r="L526" s="177"/>
      <c r="M526" s="177"/>
      <c r="N526" s="177"/>
      <c r="O526" s="177"/>
      <c r="P526" s="177"/>
      <c r="Q526" s="177"/>
      <c r="R526" s="205"/>
      <c r="S526" s="205"/>
      <c r="T526" s="177"/>
      <c r="U526" s="177"/>
      <c r="V526" s="178"/>
    </row>
    <row r="527" spans="3:23">
      <c r="D527" s="174"/>
      <c r="E527" s="174"/>
      <c r="F527" s="174"/>
      <c r="G527" s="174"/>
      <c r="H527" s="174"/>
      <c r="I527" s="174"/>
      <c r="J527" s="174"/>
      <c r="K527" s="174"/>
      <c r="L527" s="174"/>
      <c r="M527" s="174"/>
      <c r="N527" s="174"/>
      <c r="O527" s="174"/>
      <c r="P527" s="174"/>
      <c r="Q527" s="174"/>
      <c r="R527" s="205"/>
      <c r="S527" s="205"/>
      <c r="T527" s="174"/>
      <c r="U527" s="174"/>
      <c r="V527" s="174"/>
    </row>
    <row r="528" spans="3:23">
      <c r="D528" s="31" t="s">
        <v>532</v>
      </c>
      <c r="E528" s="173" t="s">
        <v>186</v>
      </c>
      <c r="R528" s="157">
        <v>1</v>
      </c>
      <c r="S528" s="403" t="s">
        <v>987</v>
      </c>
    </row>
    <row r="531" spans="3:22">
      <c r="C531" s="205" t="s">
        <v>297</v>
      </c>
      <c r="D531" s="476" t="s">
        <v>1404</v>
      </c>
      <c r="E531" s="477"/>
      <c r="F531" s="477"/>
      <c r="G531" s="477"/>
      <c r="H531" s="477"/>
      <c r="I531" s="477"/>
      <c r="J531" s="477"/>
      <c r="K531" s="477"/>
      <c r="L531" s="477"/>
      <c r="M531" s="477"/>
      <c r="N531" s="477"/>
      <c r="O531" s="477"/>
      <c r="P531" s="477"/>
      <c r="Q531" s="477"/>
      <c r="R531" s="477"/>
      <c r="S531" s="477"/>
      <c r="T531" s="477"/>
      <c r="U531" s="477"/>
      <c r="V531" s="504"/>
    </row>
    <row r="532" spans="3:22">
      <c r="D532" s="444"/>
      <c r="E532" s="444"/>
      <c r="F532" s="444"/>
      <c r="G532" s="444"/>
      <c r="H532" s="444"/>
      <c r="I532" s="444"/>
      <c r="J532" s="444"/>
      <c r="K532" s="444"/>
      <c r="L532" s="444"/>
      <c r="M532" s="444"/>
      <c r="N532" s="10"/>
      <c r="O532" s="444"/>
      <c r="P532" s="444"/>
      <c r="Q532" s="444"/>
      <c r="R532" s="136"/>
      <c r="S532" s="136"/>
      <c r="T532" s="444"/>
      <c r="U532" s="444"/>
      <c r="V532" s="444"/>
    </row>
    <row r="533" spans="3:22">
      <c r="D533" s="1020" t="s">
        <v>102</v>
      </c>
      <c r="E533" s="1020"/>
      <c r="F533" s="1020"/>
      <c r="G533" s="1020"/>
      <c r="H533" s="1020"/>
      <c r="I533" s="1020"/>
      <c r="J533" s="1020"/>
      <c r="K533" s="1020"/>
      <c r="L533" s="1020"/>
      <c r="M533" s="1020"/>
      <c r="N533" s="14"/>
      <c r="O533" s="524"/>
      <c r="P533" s="524"/>
      <c r="Q533" s="524"/>
      <c r="R533" s="524"/>
      <c r="S533" s="524"/>
      <c r="T533" s="524"/>
      <c r="U533" s="524"/>
      <c r="V533" s="524"/>
    </row>
    <row r="534" spans="3:22">
      <c r="D534" s="1003" t="s">
        <v>103</v>
      </c>
      <c r="E534" s="1003"/>
      <c r="F534" s="1003"/>
      <c r="G534" s="1003"/>
      <c r="H534" s="1003"/>
      <c r="I534" s="1003" t="s">
        <v>1</v>
      </c>
      <c r="J534" s="1003"/>
      <c r="K534" s="1003"/>
      <c r="L534" s="1003"/>
      <c r="M534" s="1003"/>
      <c r="N534" s="15"/>
      <c r="O534" s="525"/>
      <c r="P534" s="525"/>
      <c r="Q534" s="525"/>
      <c r="R534" s="525"/>
      <c r="S534" s="525"/>
      <c r="T534" s="525"/>
      <c r="U534" s="525"/>
      <c r="V534" s="525"/>
    </row>
    <row r="535" spans="3:22">
      <c r="D535" s="1006"/>
      <c r="E535" s="1006"/>
      <c r="F535" s="1006"/>
      <c r="G535" s="1006"/>
      <c r="H535" s="1006"/>
      <c r="I535" s="1006"/>
      <c r="J535" s="1006"/>
      <c r="K535" s="1006"/>
      <c r="L535" s="1006"/>
      <c r="M535" s="1006"/>
      <c r="N535" s="23"/>
      <c r="O535" s="1016"/>
      <c r="P535" s="1016"/>
      <c r="Q535" s="1017"/>
      <c r="R535" s="1017"/>
      <c r="S535" s="1014"/>
      <c r="T535" s="1014"/>
    </row>
    <row r="536" spans="3:22">
      <c r="D536" s="544">
        <v>1</v>
      </c>
      <c r="E536" s="542" t="s">
        <v>108</v>
      </c>
      <c r="F536" s="993" t="s">
        <v>109</v>
      </c>
      <c r="G536" s="993"/>
      <c r="H536" s="993"/>
      <c r="I536" s="544">
        <f>$I$431*D536</f>
        <v>7</v>
      </c>
      <c r="J536" s="542" t="s">
        <v>108</v>
      </c>
      <c r="K536" s="993" t="s">
        <v>109</v>
      </c>
      <c r="L536" s="993"/>
      <c r="M536" s="993"/>
      <c r="N536" s="20"/>
      <c r="O536" s="135"/>
      <c r="P536" s="135"/>
      <c r="Q536" s="135"/>
      <c r="R536" s="135"/>
      <c r="S536" s="135"/>
      <c r="T536" s="135"/>
      <c r="U536" s="135"/>
      <c r="V536" s="135"/>
    </row>
    <row r="537" spans="3:22">
      <c r="D537" s="544">
        <v>2</v>
      </c>
      <c r="E537" s="542" t="s">
        <v>108</v>
      </c>
      <c r="F537" s="993" t="s">
        <v>110</v>
      </c>
      <c r="G537" s="993"/>
      <c r="H537" s="993"/>
      <c r="I537" s="544">
        <f t="shared" ref="I537:I539" si="9">$I$431*D537</f>
        <v>14</v>
      </c>
      <c r="J537" s="542" t="s">
        <v>108</v>
      </c>
      <c r="K537" s="993" t="s">
        <v>110</v>
      </c>
      <c r="L537" s="993"/>
      <c r="M537" s="993"/>
      <c r="N537" s="20"/>
      <c r="O537" s="524"/>
      <c r="P537" s="524"/>
      <c r="Q537" s="524"/>
      <c r="R537" s="524"/>
      <c r="S537" s="524"/>
      <c r="T537" s="524"/>
      <c r="U537" s="524"/>
      <c r="V537" s="524"/>
    </row>
    <row r="538" spans="3:22">
      <c r="D538" s="544">
        <v>8</v>
      </c>
      <c r="E538" s="542" t="s">
        <v>108</v>
      </c>
      <c r="F538" s="993" t="s">
        <v>113</v>
      </c>
      <c r="G538" s="993"/>
      <c r="H538" s="993"/>
      <c r="I538" s="544">
        <f t="shared" si="9"/>
        <v>56</v>
      </c>
      <c r="J538" s="542" t="s">
        <v>108</v>
      </c>
      <c r="K538" s="993" t="s">
        <v>113</v>
      </c>
      <c r="L538" s="993"/>
      <c r="M538" s="993"/>
      <c r="N538" s="21"/>
      <c r="O538" s="134"/>
      <c r="P538" s="636"/>
      <c r="Q538" s="994"/>
      <c r="R538" s="994"/>
      <c r="S538" s="134"/>
      <c r="T538" s="405"/>
    </row>
    <row r="539" spans="3:22">
      <c r="D539" s="544">
        <v>8</v>
      </c>
      <c r="E539" s="542" t="s">
        <v>108</v>
      </c>
      <c r="F539" s="993" t="s">
        <v>114</v>
      </c>
      <c r="G539" s="993"/>
      <c r="H539" s="993"/>
      <c r="I539" s="544">
        <f t="shared" si="9"/>
        <v>56</v>
      </c>
      <c r="J539" s="542" t="s">
        <v>108</v>
      </c>
      <c r="K539" s="993" t="s">
        <v>114</v>
      </c>
      <c r="L539" s="993"/>
      <c r="M539" s="993"/>
      <c r="N539" s="21"/>
      <c r="O539" s="134"/>
      <c r="P539" s="636"/>
      <c r="Q539" s="994"/>
      <c r="R539" s="994"/>
      <c r="S539" s="134"/>
      <c r="T539" s="405"/>
    </row>
    <row r="540" spans="3:22">
      <c r="D540" s="544">
        <v>4</v>
      </c>
      <c r="E540" s="542" t="s">
        <v>108</v>
      </c>
      <c r="F540" s="1005" t="s">
        <v>243</v>
      </c>
      <c r="G540" s="1006"/>
      <c r="H540" s="1007"/>
      <c r="I540" s="544">
        <f>D540*1</f>
        <v>4</v>
      </c>
      <c r="J540" s="543" t="s">
        <v>108</v>
      </c>
      <c r="K540" s="1008" t="s">
        <v>243</v>
      </c>
      <c r="L540" s="1009"/>
      <c r="M540" s="1010"/>
      <c r="N540" s="38"/>
      <c r="O540" s="134"/>
      <c r="P540" s="636"/>
      <c r="Q540" s="994"/>
      <c r="R540" s="994"/>
      <c r="S540" s="134"/>
      <c r="T540" s="405"/>
      <c r="U540" s="994"/>
      <c r="V540" s="994"/>
    </row>
    <row r="541" spans="3:22">
      <c r="D541" s="544">
        <v>4</v>
      </c>
      <c r="E541" s="543" t="s">
        <v>108</v>
      </c>
      <c r="F541" s="1018" t="s">
        <v>244</v>
      </c>
      <c r="G541" s="1018"/>
      <c r="H541" s="1018"/>
      <c r="I541" s="544">
        <f>D541*1</f>
        <v>4</v>
      </c>
      <c r="J541" s="543" t="s">
        <v>108</v>
      </c>
      <c r="K541" s="1018" t="s">
        <v>244</v>
      </c>
      <c r="L541" s="1018"/>
      <c r="M541" s="1018"/>
      <c r="N541" s="23"/>
      <c r="O541" s="134"/>
      <c r="P541" s="636"/>
      <c r="Q541" s="994"/>
      <c r="R541" s="994"/>
      <c r="S541" s="134"/>
      <c r="T541" s="405"/>
    </row>
    <row r="542" spans="3:22">
      <c r="N542" s="474"/>
    </row>
    <row r="543" spans="3:22">
      <c r="D543" s="1011" t="s">
        <v>115</v>
      </c>
      <c r="E543" s="1012"/>
      <c r="F543" s="1012"/>
      <c r="G543" s="1012"/>
      <c r="H543" s="1013"/>
      <c r="I543" s="88"/>
      <c r="J543" s="88"/>
      <c r="K543" s="88"/>
      <c r="L543" s="88"/>
      <c r="M543" s="88"/>
      <c r="N543" s="88"/>
      <c r="O543" s="88"/>
      <c r="P543" s="88"/>
      <c r="Q543" s="88"/>
      <c r="S543" s="154"/>
      <c r="T543" s="88"/>
      <c r="U543" s="88"/>
      <c r="V543" s="88"/>
    </row>
    <row r="544" spans="3:22">
      <c r="D544" s="11" t="s">
        <v>533</v>
      </c>
      <c r="E544" s="8" t="s">
        <v>1405</v>
      </c>
      <c r="F544" s="397"/>
      <c r="G544" s="397"/>
      <c r="H544" s="487"/>
      <c r="I544" s="88"/>
      <c r="J544" s="88"/>
      <c r="K544" s="88"/>
      <c r="L544" s="88"/>
      <c r="M544" s="88"/>
      <c r="N544" s="88"/>
      <c r="O544" s="88"/>
      <c r="P544" s="88"/>
      <c r="Q544" s="88"/>
      <c r="R544" s="159">
        <f t="shared" ref="R544:R549" si="10">I536</f>
        <v>7</v>
      </c>
      <c r="S544" s="11" t="s">
        <v>352</v>
      </c>
      <c r="T544" s="88"/>
      <c r="U544" s="88"/>
      <c r="V544" s="88"/>
    </row>
    <row r="545" spans="3:22">
      <c r="D545" s="11" t="s">
        <v>557</v>
      </c>
      <c r="E545" s="8" t="s">
        <v>1406</v>
      </c>
      <c r="F545" s="397"/>
      <c r="G545" s="397"/>
      <c r="H545" s="487"/>
      <c r="I545" s="88"/>
      <c r="J545" s="88"/>
      <c r="K545" s="88"/>
      <c r="L545" s="88"/>
      <c r="M545" s="88"/>
      <c r="N545" s="88"/>
      <c r="O545" s="88"/>
      <c r="P545" s="88"/>
      <c r="Q545" s="88"/>
      <c r="R545" s="157">
        <f t="shared" si="10"/>
        <v>14</v>
      </c>
      <c r="S545" s="11" t="s">
        <v>352</v>
      </c>
      <c r="T545" s="88"/>
      <c r="U545" s="88"/>
      <c r="V545" s="88"/>
    </row>
    <row r="546" spans="3:22">
      <c r="D546" s="11" t="s">
        <v>558</v>
      </c>
      <c r="E546" s="8" t="s">
        <v>1407</v>
      </c>
      <c r="F546" s="397"/>
      <c r="G546" s="397"/>
      <c r="H546" s="487"/>
      <c r="I546" s="88"/>
      <c r="J546" s="88"/>
      <c r="K546" s="88"/>
      <c r="L546" s="88"/>
      <c r="M546" s="88"/>
      <c r="N546" s="88"/>
      <c r="O546" s="88"/>
      <c r="P546" s="88"/>
      <c r="Q546" s="88"/>
      <c r="R546" s="157">
        <f t="shared" si="10"/>
        <v>56</v>
      </c>
      <c r="S546" s="11" t="s">
        <v>352</v>
      </c>
      <c r="T546" s="88"/>
      <c r="U546" s="88"/>
      <c r="V546" s="88"/>
    </row>
    <row r="547" spans="3:22">
      <c r="D547" s="11" t="s">
        <v>559</v>
      </c>
      <c r="E547" s="8" t="s">
        <v>1408</v>
      </c>
      <c r="F547" s="397"/>
      <c r="G547" s="397"/>
      <c r="H547" s="487"/>
      <c r="I547" s="88"/>
      <c r="J547" s="88"/>
      <c r="K547" s="88"/>
      <c r="L547" s="88"/>
      <c r="M547" s="88"/>
      <c r="N547" s="88"/>
      <c r="O547" s="88"/>
      <c r="P547" s="88"/>
      <c r="Q547" s="88"/>
      <c r="R547" s="157">
        <f t="shared" si="10"/>
        <v>56</v>
      </c>
      <c r="S547" s="11" t="s">
        <v>352</v>
      </c>
      <c r="T547" s="88"/>
      <c r="U547" s="88"/>
      <c r="V547" s="88"/>
    </row>
    <row r="548" spans="3:22">
      <c r="D548" s="11" t="s">
        <v>560</v>
      </c>
      <c r="E548" s="8" t="s">
        <v>1409</v>
      </c>
      <c r="F548" s="397"/>
      <c r="G548" s="397"/>
      <c r="H548" s="487"/>
      <c r="I548" s="88"/>
      <c r="J548" s="88"/>
      <c r="K548" s="88"/>
      <c r="L548" s="88"/>
      <c r="M548" s="88"/>
      <c r="N548" s="88"/>
      <c r="O548" s="88"/>
      <c r="P548" s="88"/>
      <c r="Q548" s="88"/>
      <c r="R548" s="157">
        <f t="shared" si="10"/>
        <v>4</v>
      </c>
      <c r="S548" s="11" t="s">
        <v>352</v>
      </c>
      <c r="T548" s="88"/>
      <c r="U548" s="88"/>
      <c r="V548" s="88"/>
    </row>
    <row r="549" spans="3:22">
      <c r="D549" s="11" t="s">
        <v>561</v>
      </c>
      <c r="E549" s="8" t="s">
        <v>1410</v>
      </c>
      <c r="F549" s="397"/>
      <c r="G549" s="397"/>
      <c r="H549" s="487"/>
      <c r="I549" s="88"/>
      <c r="J549" s="88"/>
      <c r="K549" s="88"/>
      <c r="L549" s="88"/>
      <c r="M549" s="88"/>
      <c r="N549" s="88"/>
      <c r="O549" s="88"/>
      <c r="P549" s="88"/>
      <c r="Q549" s="88"/>
      <c r="R549" s="157">
        <f t="shared" si="10"/>
        <v>4</v>
      </c>
      <c r="S549" s="11" t="s">
        <v>352</v>
      </c>
      <c r="T549" s="88"/>
      <c r="U549" s="88"/>
      <c r="V549" s="88"/>
    </row>
    <row r="550" spans="3:22">
      <c r="D550" s="396"/>
      <c r="E550" s="397"/>
      <c r="F550" s="397"/>
      <c r="G550" s="397"/>
      <c r="H550" s="487"/>
      <c r="I550" s="88"/>
      <c r="J550" s="88"/>
      <c r="K550" s="88"/>
      <c r="L550" s="88"/>
      <c r="M550" s="88"/>
      <c r="N550" s="88"/>
      <c r="O550" s="88"/>
      <c r="P550" s="88"/>
      <c r="Q550" s="88"/>
      <c r="S550" s="154"/>
      <c r="T550" s="88"/>
      <c r="U550" s="88"/>
      <c r="V550" s="88"/>
    </row>
    <row r="552" spans="3:22">
      <c r="C552" s="205" t="s">
        <v>298</v>
      </c>
      <c r="D552" s="476" t="s">
        <v>162</v>
      </c>
      <c r="E552" s="477"/>
      <c r="F552" s="477"/>
      <c r="G552" s="477"/>
      <c r="H552" s="504"/>
    </row>
    <row r="554" spans="3:22">
      <c r="D554" s="11" t="s">
        <v>534</v>
      </c>
      <c r="E554" s="8" t="s">
        <v>49</v>
      </c>
      <c r="F554" s="180"/>
      <c r="G554" s="180"/>
      <c r="H554" s="180"/>
      <c r="I554" s="180"/>
      <c r="J554" s="180"/>
      <c r="K554" s="180"/>
      <c r="L554" s="180"/>
      <c r="M554" s="180"/>
      <c r="N554" s="180"/>
      <c r="O554" s="180"/>
      <c r="P554" s="180"/>
      <c r="Q554" s="180"/>
      <c r="R554" s="158"/>
      <c r="S554" s="403"/>
    </row>
    <row r="556" spans="3:22">
      <c r="E556" s="986" t="s">
        <v>242</v>
      </c>
      <c r="F556" s="987"/>
      <c r="G556" s="987"/>
      <c r="H556" s="987"/>
      <c r="I556" s="987"/>
      <c r="J556" s="987"/>
      <c r="K556" s="987"/>
      <c r="L556" s="987"/>
      <c r="M556" s="987"/>
      <c r="N556" s="987"/>
      <c r="O556" s="987"/>
      <c r="P556" s="987"/>
      <c r="Q556" s="1004"/>
      <c r="R556" s="157">
        <f>Q431</f>
        <v>28</v>
      </c>
      <c r="S556" s="11" t="s">
        <v>17</v>
      </c>
    </row>
    <row r="557" spans="3:22">
      <c r="E557" s="395"/>
      <c r="F557" s="395"/>
      <c r="G557" s="395"/>
      <c r="H557" s="395"/>
      <c r="I557" s="395"/>
      <c r="J557" s="395"/>
      <c r="K557" s="395"/>
      <c r="L557" s="395"/>
      <c r="M557" s="395"/>
      <c r="N557" s="395"/>
      <c r="O557" s="395"/>
      <c r="P557" s="395"/>
      <c r="Q557" s="395"/>
      <c r="R557" s="158"/>
      <c r="S557" s="403"/>
    </row>
    <row r="558" spans="3:22">
      <c r="C558" s="205" t="s">
        <v>301</v>
      </c>
      <c r="D558" s="396" t="s">
        <v>358</v>
      </c>
      <c r="E558" s="123"/>
      <c r="F558" s="395"/>
      <c r="G558" s="395"/>
      <c r="H558" s="395"/>
      <c r="I558" s="395"/>
      <c r="J558" s="395"/>
      <c r="K558" s="395"/>
      <c r="L558" s="395"/>
      <c r="M558" s="395"/>
      <c r="N558" s="395"/>
      <c r="O558" s="395"/>
      <c r="P558" s="395"/>
      <c r="Q558" s="395"/>
      <c r="R558" s="158"/>
      <c r="S558" s="403"/>
    </row>
    <row r="559" spans="3:22">
      <c r="D559" s="403" t="s">
        <v>536</v>
      </c>
      <c r="E559" s="123" t="s">
        <v>1208</v>
      </c>
      <c r="F559" s="395"/>
      <c r="G559" s="395"/>
      <c r="H559" s="395"/>
      <c r="I559" s="395"/>
      <c r="J559" s="395"/>
      <c r="K559" s="395"/>
      <c r="L559" s="395"/>
      <c r="M559" s="395"/>
      <c r="N559" s="395"/>
      <c r="O559" s="395"/>
      <c r="P559" s="395"/>
      <c r="Q559" s="395"/>
      <c r="R559" s="157">
        <f>4*2</f>
        <v>8</v>
      </c>
      <c r="S559" s="11" t="s">
        <v>352</v>
      </c>
    </row>
    <row r="560" spans="3:22">
      <c r="D560" s="403" t="s">
        <v>566</v>
      </c>
      <c r="E560" s="8" t="s">
        <v>1177</v>
      </c>
      <c r="F560" s="398"/>
      <c r="G560" s="399"/>
      <c r="H560" s="399"/>
      <c r="I560" s="399"/>
      <c r="J560" s="399"/>
      <c r="K560" s="399"/>
      <c r="L560" s="399"/>
      <c r="M560" s="399"/>
      <c r="N560" s="399"/>
      <c r="O560" s="399"/>
      <c r="P560" s="399"/>
      <c r="Q560" s="399"/>
      <c r="R560" s="157">
        <f>8*2</f>
        <v>16</v>
      </c>
      <c r="S560" s="11" t="s">
        <v>352</v>
      </c>
    </row>
    <row r="561" spans="3:22">
      <c r="D561" s="403" t="s">
        <v>567</v>
      </c>
      <c r="E561" s="8" t="s">
        <v>1161</v>
      </c>
      <c r="F561" s="398"/>
      <c r="G561" s="399"/>
      <c r="H561" s="399"/>
      <c r="I561" s="399"/>
      <c r="J561" s="399"/>
      <c r="K561" s="399"/>
      <c r="L561" s="399"/>
      <c r="M561" s="399"/>
      <c r="N561" s="399"/>
      <c r="O561" s="399"/>
      <c r="P561" s="399"/>
      <c r="Q561" s="399"/>
      <c r="R561" s="157">
        <f t="shared" ref="R561:R563" si="11">8*2</f>
        <v>16</v>
      </c>
      <c r="S561" s="11" t="s">
        <v>352</v>
      </c>
    </row>
    <row r="562" spans="3:22">
      <c r="D562" s="403" t="s">
        <v>766</v>
      </c>
      <c r="E562" s="8" t="s">
        <v>1162</v>
      </c>
      <c r="F562" s="398"/>
      <c r="G562" s="399"/>
      <c r="H562" s="399"/>
      <c r="I562" s="399"/>
      <c r="J562" s="399"/>
      <c r="K562" s="399"/>
      <c r="L562" s="399"/>
      <c r="M562" s="399"/>
      <c r="N562" s="399"/>
      <c r="O562" s="399"/>
      <c r="P562" s="399"/>
      <c r="Q562" s="399"/>
      <c r="R562" s="157">
        <f t="shared" si="11"/>
        <v>16</v>
      </c>
      <c r="S562" s="11" t="s">
        <v>352</v>
      </c>
    </row>
    <row r="563" spans="3:22">
      <c r="D563" s="403" t="s">
        <v>767</v>
      </c>
      <c r="E563" s="8" t="s">
        <v>1179</v>
      </c>
      <c r="F563" s="398"/>
      <c r="G563" s="399"/>
      <c r="H563" s="399"/>
      <c r="I563" s="399"/>
      <c r="J563" s="399"/>
      <c r="K563" s="399"/>
      <c r="L563" s="399"/>
      <c r="M563" s="399"/>
      <c r="N563" s="399"/>
      <c r="O563" s="399"/>
      <c r="P563" s="399"/>
      <c r="Q563" s="399"/>
      <c r="R563" s="157">
        <f t="shared" si="11"/>
        <v>16</v>
      </c>
      <c r="S563" s="11" t="s">
        <v>352</v>
      </c>
    </row>
    <row r="564" spans="3:22">
      <c r="D564" s="403"/>
      <c r="E564" s="86"/>
      <c r="F564" s="395"/>
      <c r="G564" s="395"/>
      <c r="H564" s="395"/>
      <c r="I564" s="395"/>
      <c r="J564" s="395"/>
      <c r="K564" s="395"/>
      <c r="L564" s="395"/>
      <c r="M564" s="395"/>
      <c r="N564" s="395"/>
      <c r="O564" s="395"/>
      <c r="P564" s="395"/>
      <c r="Q564" s="395"/>
      <c r="R564" s="158"/>
      <c r="S564" s="403"/>
    </row>
    <row r="565" spans="3:22">
      <c r="C565" s="132" t="s">
        <v>768</v>
      </c>
      <c r="D565" s="396" t="s">
        <v>1202</v>
      </c>
      <c r="E565" s="8"/>
      <c r="F565" s="398"/>
      <c r="G565" s="399"/>
      <c r="H565" s="399"/>
      <c r="I565" s="399"/>
      <c r="J565" s="399"/>
      <c r="K565" s="399"/>
      <c r="L565" s="399"/>
      <c r="M565" s="399"/>
      <c r="N565" s="399"/>
      <c r="O565" s="399"/>
      <c r="P565" s="399"/>
      <c r="Q565" s="399"/>
      <c r="R565" s="158"/>
      <c r="S565" s="403"/>
    </row>
    <row r="566" spans="3:22">
      <c r="D566" s="403" t="s">
        <v>769</v>
      </c>
      <c r="E566" s="8" t="s">
        <v>1199</v>
      </c>
      <c r="F566" s="398"/>
      <c r="G566" s="399"/>
      <c r="H566" s="399"/>
      <c r="I566" s="399"/>
      <c r="J566" s="399"/>
      <c r="K566" s="399"/>
      <c r="L566" s="399"/>
      <c r="M566" s="399"/>
      <c r="N566" s="399"/>
      <c r="O566" s="399"/>
      <c r="P566" s="399"/>
      <c r="Q566" s="399"/>
      <c r="R566" s="157">
        <f>4*1</f>
        <v>4</v>
      </c>
      <c r="S566" s="156" t="s">
        <v>352</v>
      </c>
    </row>
    <row r="567" spans="3:22">
      <c r="D567" s="403" t="s">
        <v>770</v>
      </c>
      <c r="E567" s="8" t="s">
        <v>1200</v>
      </c>
      <c r="F567" s="398"/>
      <c r="G567" s="399"/>
      <c r="H567" s="399"/>
      <c r="I567" s="399"/>
      <c r="J567" s="399"/>
      <c r="K567" s="399"/>
      <c r="L567" s="399"/>
      <c r="M567" s="399"/>
      <c r="N567" s="399"/>
      <c r="O567" s="399"/>
      <c r="P567" s="399"/>
      <c r="Q567" s="399"/>
      <c r="R567" s="157">
        <f>8*1*1</f>
        <v>8</v>
      </c>
      <c r="S567" s="156" t="s">
        <v>352</v>
      </c>
    </row>
    <row r="568" spans="3:22">
      <c r="D568" s="403" t="s">
        <v>771</v>
      </c>
      <c r="E568" s="8" t="s">
        <v>1201</v>
      </c>
      <c r="F568" s="398"/>
      <c r="G568" s="399"/>
      <c r="H568" s="399"/>
      <c r="I568" s="399"/>
      <c r="J568" s="399"/>
      <c r="K568" s="399"/>
      <c r="L568" s="399"/>
      <c r="M568" s="399"/>
      <c r="N568" s="399"/>
      <c r="O568" s="399"/>
      <c r="P568" s="399"/>
      <c r="Q568" s="399"/>
      <c r="R568" s="157">
        <f>8*1*1</f>
        <v>8</v>
      </c>
      <c r="S568" s="156" t="s">
        <v>352</v>
      </c>
    </row>
    <row r="571" spans="3:22" ht="15">
      <c r="C571" s="651">
        <v>9</v>
      </c>
      <c r="D571" s="655" t="s">
        <v>1295</v>
      </c>
      <c r="E571" s="8"/>
      <c r="F571" s="398"/>
      <c r="G571" s="399"/>
      <c r="H571" s="399"/>
      <c r="I571" s="399"/>
      <c r="J571" s="399"/>
      <c r="K571" s="399"/>
      <c r="L571" s="399"/>
      <c r="M571" s="399"/>
      <c r="N571" s="399"/>
      <c r="O571" s="399"/>
      <c r="P571" s="399"/>
      <c r="Q571" s="399"/>
      <c r="R571" s="158"/>
      <c r="S571" s="156"/>
      <c r="T571" s="9"/>
      <c r="U571" s="10"/>
      <c r="V571" s="10"/>
    </row>
    <row r="572" spans="3:22">
      <c r="C572" s="141"/>
      <c r="D572" s="397"/>
      <c r="E572" s="179"/>
      <c r="F572" s="399"/>
      <c r="G572" s="399"/>
      <c r="H572" s="399"/>
      <c r="I572" s="399"/>
      <c r="J572" s="399"/>
      <c r="K572" s="399"/>
      <c r="L572" s="399"/>
      <c r="M572" s="399"/>
      <c r="N572" s="399"/>
      <c r="O572" s="399"/>
      <c r="P572" s="399"/>
      <c r="Q572" s="399"/>
      <c r="R572" s="158"/>
      <c r="S572" s="503"/>
      <c r="T572" s="179"/>
      <c r="U572" s="179"/>
      <c r="V572" s="9"/>
    </row>
    <row r="573" spans="3:22">
      <c r="C573" s="1011" t="s">
        <v>131</v>
      </c>
      <c r="D573" s="1012"/>
      <c r="E573" s="1012"/>
      <c r="F573" s="1012"/>
      <c r="G573" s="1012"/>
      <c r="H573" s="1012"/>
      <c r="I573" s="1012"/>
      <c r="J573" s="1012"/>
      <c r="K573" s="1012"/>
      <c r="L573" s="1012"/>
      <c r="M573" s="1012"/>
      <c r="N573" s="1012"/>
      <c r="O573" s="1012"/>
      <c r="P573" s="1012"/>
      <c r="Q573" s="1012"/>
      <c r="R573" s="1012"/>
      <c r="S573" s="1012"/>
      <c r="T573" s="1012"/>
      <c r="U573" s="1012"/>
      <c r="V573" s="1013"/>
    </row>
    <row r="574" spans="3:22">
      <c r="C574" s="1047" t="s">
        <v>260</v>
      </c>
      <c r="D574" s="1048"/>
      <c r="E574" s="1048"/>
      <c r="F574" s="1048"/>
      <c r="G574" s="1048"/>
      <c r="H574" s="1048"/>
      <c r="I574" s="1048"/>
      <c r="J574" s="1048"/>
      <c r="K574" s="1048"/>
      <c r="L574" s="1048"/>
      <c r="M574" s="1048"/>
      <c r="N574" s="1048"/>
      <c r="O574" s="1048"/>
      <c r="P574" s="1048"/>
      <c r="Q574" s="1048"/>
      <c r="R574" s="1048"/>
      <c r="S574" s="1048"/>
      <c r="T574" s="1048"/>
      <c r="U574" s="1048"/>
      <c r="V574" s="1049"/>
    </row>
    <row r="575" spans="3:22">
      <c r="C575" s="1050"/>
      <c r="D575" s="1051"/>
      <c r="E575" s="1051"/>
      <c r="F575" s="1051"/>
      <c r="G575" s="1051"/>
      <c r="H575" s="1051"/>
      <c r="I575" s="1051"/>
      <c r="J575" s="1051"/>
      <c r="K575" s="1051"/>
      <c r="L575" s="1051"/>
      <c r="M575" s="1051"/>
      <c r="N575" s="1051"/>
      <c r="O575" s="1051"/>
      <c r="P575" s="1051"/>
      <c r="Q575" s="1051"/>
      <c r="R575" s="1051"/>
      <c r="S575" s="1051"/>
      <c r="T575" s="1051"/>
      <c r="U575" s="1051"/>
      <c r="V575" s="1052"/>
    </row>
    <row r="576" spans="3:22">
      <c r="C576" s="1053" t="s">
        <v>27</v>
      </c>
      <c r="D576" s="1054"/>
      <c r="E576" s="1054"/>
      <c r="F576" s="1054"/>
      <c r="G576" s="1054"/>
      <c r="H576" s="1055"/>
      <c r="I576" s="1053" t="s">
        <v>30</v>
      </c>
      <c r="J576" s="1055"/>
      <c r="K576" s="1053" t="s">
        <v>20</v>
      </c>
      <c r="L576" s="1055"/>
      <c r="M576" s="1053" t="s">
        <v>152</v>
      </c>
      <c r="N576" s="1055"/>
      <c r="O576" s="1053" t="s">
        <v>47</v>
      </c>
      <c r="P576" s="1055"/>
      <c r="Q576" s="1053" t="s">
        <v>48</v>
      </c>
      <c r="R576" s="1055"/>
      <c r="S576" s="1053" t="s">
        <v>33</v>
      </c>
      <c r="T576" s="1055"/>
      <c r="U576" s="1053" t="s">
        <v>1418</v>
      </c>
      <c r="V576" s="1055"/>
    </row>
    <row r="577" spans="3:22">
      <c r="C577" s="1056"/>
      <c r="D577" s="1057"/>
      <c r="E577" s="1057"/>
      <c r="F577" s="1057"/>
      <c r="G577" s="1057"/>
      <c r="H577" s="1058"/>
      <c r="I577" s="1056"/>
      <c r="J577" s="1058"/>
      <c r="K577" s="1056"/>
      <c r="L577" s="1058"/>
      <c r="M577" s="1056"/>
      <c r="N577" s="1058"/>
      <c r="O577" s="1056"/>
      <c r="P577" s="1058"/>
      <c r="Q577" s="1056"/>
      <c r="R577" s="1058"/>
      <c r="S577" s="1056"/>
      <c r="T577" s="1058"/>
      <c r="U577" s="1056"/>
      <c r="V577" s="1058"/>
    </row>
    <row r="578" spans="3:22">
      <c r="C578" s="1043" t="s">
        <v>238</v>
      </c>
      <c r="D578" s="1044"/>
      <c r="E578" s="1044"/>
      <c r="F578" s="1044"/>
      <c r="G578" s="1044"/>
      <c r="H578" s="1044"/>
      <c r="I578" s="144"/>
      <c r="J578" s="463"/>
      <c r="K578" s="463"/>
      <c r="L578" s="463"/>
      <c r="M578" s="464"/>
      <c r="N578" s="465"/>
      <c r="O578" s="464"/>
      <c r="P578" s="464"/>
      <c r="Q578" s="465"/>
      <c r="R578" s="153"/>
      <c r="S578" s="500"/>
      <c r="T578" s="463"/>
      <c r="U578" s="463"/>
      <c r="V578" s="466"/>
    </row>
    <row r="579" spans="3:22">
      <c r="C579" s="1031"/>
      <c r="D579" s="1094"/>
      <c r="E579" s="1094"/>
      <c r="F579" s="1094"/>
      <c r="G579" s="1094"/>
      <c r="H579" s="1094"/>
      <c r="I579" s="1035">
        <v>2</v>
      </c>
      <c r="J579" s="1036"/>
      <c r="K579" s="1039">
        <v>2</v>
      </c>
      <c r="L579" s="1030" t="s">
        <v>0</v>
      </c>
      <c r="M579" s="1039">
        <v>2</v>
      </c>
      <c r="N579" s="1030" t="s">
        <v>0</v>
      </c>
      <c r="O579" s="1041">
        <f>O431</f>
        <v>1.5</v>
      </c>
      <c r="P579" s="1030" t="s">
        <v>0</v>
      </c>
      <c r="Q579" s="1093">
        <f>I579*K579*M579</f>
        <v>8</v>
      </c>
      <c r="R579" s="1026" t="s">
        <v>17</v>
      </c>
      <c r="S579" s="1028">
        <f>(I579*K579*M579*O579)*1.2</f>
        <v>14.399999999999999</v>
      </c>
      <c r="T579" s="1030" t="s">
        <v>18</v>
      </c>
      <c r="U579" s="1031" t="s">
        <v>28</v>
      </c>
      <c r="V579" s="1032"/>
    </row>
    <row r="580" spans="3:22">
      <c r="C580" s="1033"/>
      <c r="D580" s="1046"/>
      <c r="E580" s="1046"/>
      <c r="F580" s="1046"/>
      <c r="G580" s="1046"/>
      <c r="H580" s="1046"/>
      <c r="I580" s="1037"/>
      <c r="J580" s="1038"/>
      <c r="K580" s="1040"/>
      <c r="L580" s="1002"/>
      <c r="M580" s="1040"/>
      <c r="N580" s="1002"/>
      <c r="O580" s="1042"/>
      <c r="P580" s="1002"/>
      <c r="Q580" s="1029"/>
      <c r="R580" s="1027"/>
      <c r="S580" s="1029"/>
      <c r="T580" s="1002"/>
      <c r="U580" s="1033"/>
      <c r="V580" s="1034"/>
    </row>
    <row r="581" spans="3:22">
      <c r="C581" s="994"/>
      <c r="D581" s="994"/>
      <c r="E581" s="994"/>
      <c r="F581" s="994"/>
      <c r="G581" s="994"/>
      <c r="H581" s="994"/>
      <c r="I581" s="994"/>
      <c r="J581" s="994"/>
      <c r="K581" s="994"/>
      <c r="L581" s="994"/>
      <c r="M581" s="994"/>
      <c r="N581" s="994"/>
      <c r="O581" s="994"/>
      <c r="P581" s="994"/>
      <c r="Q581" s="994"/>
      <c r="R581" s="994"/>
      <c r="S581" s="994"/>
      <c r="T581" s="994"/>
      <c r="U581" s="994"/>
      <c r="V581" s="994"/>
    </row>
    <row r="582" spans="3:22">
      <c r="D582" s="177" t="s">
        <v>780</v>
      </c>
    </row>
    <row r="583" spans="3:22">
      <c r="C583" s="132" t="s">
        <v>303</v>
      </c>
      <c r="D583" s="396" t="s">
        <v>1411</v>
      </c>
      <c r="E583" s="477"/>
      <c r="F583" s="478"/>
      <c r="G583" s="478"/>
      <c r="H583" s="478"/>
      <c r="I583" s="478"/>
      <c r="J583" s="478"/>
      <c r="K583" s="478"/>
      <c r="L583" s="478"/>
      <c r="M583" s="478"/>
      <c r="N583" s="478"/>
      <c r="O583" s="479"/>
      <c r="P583" s="9"/>
      <c r="Q583" s="10"/>
      <c r="R583" s="11"/>
      <c r="S583" s="11"/>
    </row>
    <row r="584" spans="3:22">
      <c r="D584" s="174"/>
      <c r="E584" s="174"/>
      <c r="F584" s="475"/>
      <c r="G584" s="475"/>
      <c r="H584" s="475"/>
      <c r="I584" s="475"/>
      <c r="J584" s="475"/>
      <c r="K584" s="475"/>
      <c r="L584" s="475"/>
      <c r="M584" s="475"/>
      <c r="N584" s="475"/>
      <c r="O584" s="475"/>
      <c r="P584" s="443"/>
      <c r="Q584" s="443"/>
      <c r="R584" s="403"/>
      <c r="S584" s="403"/>
    </row>
    <row r="585" spans="3:22" ht="12.75" customHeight="1">
      <c r="D585" s="31" t="s">
        <v>578</v>
      </c>
      <c r="E585" s="173" t="s">
        <v>37</v>
      </c>
      <c r="F585" s="443"/>
      <c r="G585" s="443"/>
      <c r="H585" s="443"/>
      <c r="I585" s="443"/>
      <c r="J585" s="443"/>
      <c r="K585" s="443"/>
      <c r="L585" s="443"/>
      <c r="M585" s="443"/>
      <c r="N585" s="443"/>
      <c r="O585" s="443"/>
      <c r="P585" s="443"/>
      <c r="Q585" s="443"/>
      <c r="R585" s="158"/>
    </row>
    <row r="586" spans="3:22">
      <c r="D586" s="162"/>
      <c r="E586" s="163"/>
      <c r="F586" s="86"/>
      <c r="G586" s="86"/>
      <c r="H586" s="86"/>
      <c r="I586" s="86"/>
      <c r="J586" s="86"/>
      <c r="K586" s="86"/>
      <c r="L586" s="86"/>
      <c r="M586" s="86"/>
      <c r="N586" s="86"/>
      <c r="O586" s="86"/>
      <c r="P586" s="86"/>
      <c r="Q586" s="86"/>
      <c r="R586" s="158"/>
    </row>
    <row r="587" spans="3:22" ht="12.75" customHeight="1">
      <c r="F587" s="982" t="s">
        <v>1344</v>
      </c>
      <c r="G587" s="983"/>
      <c r="H587" s="983"/>
      <c r="I587" s="983"/>
      <c r="J587" s="983"/>
      <c r="K587" s="995"/>
      <c r="L587" s="997" t="s">
        <v>192</v>
      </c>
      <c r="M587" s="999">
        <v>12</v>
      </c>
      <c r="N587" s="1001" t="s">
        <v>193</v>
      </c>
    </row>
    <row r="588" spans="3:22" ht="12.75" customHeight="1">
      <c r="F588" s="984"/>
      <c r="G588" s="985"/>
      <c r="H588" s="985"/>
      <c r="I588" s="985"/>
      <c r="J588" s="985"/>
      <c r="K588" s="996"/>
      <c r="L588" s="998"/>
      <c r="M588" s="1000"/>
      <c r="N588" s="1002"/>
    </row>
    <row r="590" spans="3:22" ht="12.75" customHeight="1">
      <c r="F590" s="1021" t="s">
        <v>194</v>
      </c>
      <c r="G590" s="1022"/>
      <c r="H590" s="1022"/>
      <c r="I590" s="1022"/>
      <c r="J590" s="1023"/>
      <c r="K590" s="982" t="s">
        <v>259</v>
      </c>
      <c r="L590" s="983"/>
      <c r="M590" s="983"/>
      <c r="N590" s="983"/>
      <c r="O590" s="983"/>
      <c r="P590" s="983"/>
      <c r="Q590" s="995"/>
      <c r="R590" s="136"/>
      <c r="S590" s="11"/>
    </row>
    <row r="591" spans="3:22">
      <c r="F591" s="10"/>
      <c r="G591" s="10"/>
      <c r="H591" s="10"/>
      <c r="I591" s="10"/>
      <c r="J591" s="10"/>
      <c r="K591" s="10"/>
      <c r="L591" s="10"/>
      <c r="M591" s="10"/>
      <c r="N591" s="10"/>
      <c r="O591" s="10"/>
      <c r="P591" s="10"/>
      <c r="Q591" s="10"/>
      <c r="R591" s="11"/>
      <c r="S591" s="11"/>
    </row>
    <row r="592" spans="3:22" ht="12.75" customHeight="1">
      <c r="F592" s="10"/>
      <c r="G592" s="10"/>
      <c r="H592" s="10"/>
      <c r="I592" s="10"/>
      <c r="J592" s="10"/>
      <c r="K592" s="982" t="s">
        <v>1183</v>
      </c>
      <c r="L592" s="983"/>
      <c r="M592" s="983"/>
      <c r="N592" s="983"/>
      <c r="O592" s="983"/>
      <c r="P592" s="983"/>
      <c r="Q592" s="983"/>
      <c r="R592" s="11"/>
      <c r="S592" s="11"/>
    </row>
    <row r="593" spans="3:22">
      <c r="F593" s="10"/>
      <c r="G593" s="10"/>
      <c r="H593" s="10"/>
      <c r="I593" s="10"/>
      <c r="J593" s="10"/>
      <c r="K593" s="984"/>
      <c r="L593" s="985"/>
      <c r="M593" s="985"/>
      <c r="N593" s="985"/>
      <c r="O593" s="985"/>
      <c r="P593" s="985"/>
      <c r="Q593" s="985"/>
      <c r="R593" s="157">
        <f>(I579*((K579*2+M579*2)/M587))</f>
        <v>1.3333333333333333</v>
      </c>
      <c r="S593" s="156" t="s">
        <v>0</v>
      </c>
    </row>
    <row r="595" spans="3:22">
      <c r="D595" s="31" t="s">
        <v>579</v>
      </c>
      <c r="E595" s="173" t="s">
        <v>36</v>
      </c>
    </row>
    <row r="597" spans="3:22" ht="12.75" customHeight="1">
      <c r="F597" s="982" t="s">
        <v>191</v>
      </c>
      <c r="G597" s="983"/>
      <c r="H597" s="983"/>
      <c r="I597" s="983"/>
      <c r="J597" s="983"/>
      <c r="K597" s="995"/>
      <c r="L597" s="997" t="s">
        <v>192</v>
      </c>
      <c r="M597" s="999">
        <v>12</v>
      </c>
      <c r="N597" s="1001" t="s">
        <v>193</v>
      </c>
      <c r="O597" s="1024"/>
      <c r="P597" s="8"/>
      <c r="Q597" s="8"/>
      <c r="R597" s="11"/>
      <c r="S597" s="11"/>
    </row>
    <row r="598" spans="3:22" ht="12.75" customHeight="1">
      <c r="F598" s="984"/>
      <c r="G598" s="985"/>
      <c r="H598" s="985"/>
      <c r="I598" s="985"/>
      <c r="J598" s="985"/>
      <c r="K598" s="996"/>
      <c r="L598" s="998"/>
      <c r="M598" s="1000"/>
      <c r="N598" s="1002"/>
      <c r="O598" s="1025"/>
      <c r="P598" s="8"/>
      <c r="Q598" s="8"/>
      <c r="R598" s="11"/>
      <c r="S598" s="11"/>
    </row>
    <row r="599" spans="3:22">
      <c r="F599" s="7"/>
      <c r="G599" s="7"/>
      <c r="H599" s="7"/>
      <c r="I599" s="7"/>
      <c r="J599" s="7"/>
      <c r="K599" s="7"/>
      <c r="L599" s="10"/>
      <c r="M599" s="7"/>
      <c r="N599" s="7"/>
      <c r="O599" s="7"/>
      <c r="P599" s="7"/>
      <c r="Q599" s="7"/>
      <c r="R599" s="11"/>
      <c r="S599" s="11"/>
    </row>
    <row r="600" spans="3:22" ht="12.75" customHeight="1">
      <c r="F600" s="1021" t="s">
        <v>194</v>
      </c>
      <c r="G600" s="1022"/>
      <c r="H600" s="1022"/>
      <c r="I600" s="1022"/>
      <c r="J600" s="1023"/>
      <c r="K600" s="982" t="s">
        <v>259</v>
      </c>
      <c r="L600" s="983"/>
      <c r="M600" s="983"/>
      <c r="N600" s="983"/>
      <c r="O600" s="983"/>
      <c r="P600" s="983"/>
      <c r="Q600" s="995"/>
      <c r="R600" s="136"/>
      <c r="S600" s="11"/>
    </row>
    <row r="601" spans="3:22" ht="12.75" customHeight="1">
      <c r="F601" s="10"/>
      <c r="G601" s="10"/>
      <c r="H601" s="10"/>
      <c r="I601" s="10"/>
      <c r="J601" s="10"/>
      <c r="K601" s="10"/>
      <c r="L601" s="10"/>
      <c r="M601" s="10"/>
      <c r="N601" s="10"/>
      <c r="O601" s="10"/>
      <c r="P601" s="10"/>
      <c r="Q601" s="10"/>
      <c r="R601" s="11"/>
      <c r="S601" s="11"/>
    </row>
    <row r="602" spans="3:22" ht="12.75" customHeight="1">
      <c r="F602" s="10"/>
      <c r="G602" s="10"/>
      <c r="H602" s="10"/>
      <c r="I602" s="10"/>
      <c r="J602" s="10"/>
      <c r="K602" s="982" t="s">
        <v>1183</v>
      </c>
      <c r="L602" s="983"/>
      <c r="M602" s="983"/>
      <c r="N602" s="983"/>
      <c r="O602" s="983"/>
      <c r="P602" s="983"/>
      <c r="Q602" s="983"/>
      <c r="R602" s="11"/>
      <c r="S602" s="11"/>
    </row>
    <row r="603" spans="3:22" ht="12.75" customHeight="1">
      <c r="F603" s="10"/>
      <c r="G603" s="10"/>
      <c r="H603" s="10"/>
      <c r="I603" s="10"/>
      <c r="J603" s="10"/>
      <c r="K603" s="984"/>
      <c r="L603" s="985"/>
      <c r="M603" s="985"/>
      <c r="N603" s="985"/>
      <c r="O603" s="985"/>
      <c r="P603" s="985"/>
      <c r="Q603" s="985"/>
      <c r="R603" s="157">
        <f>(I579*(K579*2+M579*2)/M597)</f>
        <v>1.3333333333333333</v>
      </c>
      <c r="S603" s="156" t="s">
        <v>0</v>
      </c>
    </row>
    <row r="606" spans="3:22">
      <c r="C606" s="132" t="s">
        <v>305</v>
      </c>
      <c r="D606" s="396" t="s">
        <v>427</v>
      </c>
      <c r="E606" s="177"/>
      <c r="F606" s="177"/>
      <c r="G606" s="177"/>
      <c r="H606" s="177"/>
      <c r="I606" s="177"/>
      <c r="J606" s="177"/>
      <c r="K606" s="177"/>
      <c r="L606" s="177"/>
      <c r="M606" s="177"/>
      <c r="N606" s="177"/>
      <c r="O606" s="177"/>
      <c r="P606" s="177"/>
      <c r="Q606" s="177"/>
      <c r="R606" s="205"/>
      <c r="S606" s="205"/>
      <c r="T606" s="177"/>
      <c r="U606" s="177"/>
      <c r="V606" s="178"/>
    </row>
    <row r="607" spans="3:22" ht="12.75" customHeight="1">
      <c r="D607" s="174"/>
      <c r="E607" s="174"/>
      <c r="F607" s="174"/>
      <c r="G607" s="174"/>
      <c r="H607" s="174"/>
      <c r="I607" s="174"/>
      <c r="J607" s="174"/>
      <c r="K607" s="174"/>
      <c r="L607" s="174"/>
      <c r="M607" s="174"/>
      <c r="N607" s="174"/>
      <c r="O607" s="174"/>
      <c r="P607" s="174"/>
      <c r="Q607" s="174"/>
      <c r="R607" s="205"/>
      <c r="S607" s="205"/>
      <c r="T607" s="174"/>
      <c r="U607" s="174"/>
      <c r="V607" s="174"/>
    </row>
    <row r="608" spans="3:22">
      <c r="D608" s="31" t="s">
        <v>568</v>
      </c>
      <c r="E608" s="173" t="s">
        <v>21</v>
      </c>
      <c r="F608" s="86"/>
      <c r="G608" s="86"/>
      <c r="H608" s="86"/>
      <c r="I608" s="86"/>
      <c r="J608" s="86"/>
      <c r="K608" s="86"/>
      <c r="L608" s="86"/>
      <c r="M608" s="86"/>
      <c r="N608" s="86"/>
      <c r="O608" s="86"/>
      <c r="P608" s="86"/>
      <c r="Q608" s="86"/>
      <c r="R608" s="158"/>
      <c r="S608" s="403"/>
    </row>
    <row r="609" spans="4:19">
      <c r="D609" s="31"/>
      <c r="E609" s="86"/>
      <c r="F609" s="86"/>
      <c r="G609" s="86"/>
      <c r="H609" s="86"/>
      <c r="I609" s="86"/>
      <c r="J609" s="86"/>
      <c r="K609" s="86"/>
      <c r="L609" s="86"/>
      <c r="M609" s="86"/>
      <c r="N609" s="86"/>
      <c r="O609" s="86"/>
      <c r="P609" s="86"/>
      <c r="Q609" s="86"/>
      <c r="R609" s="158"/>
      <c r="S609" s="403"/>
    </row>
    <row r="610" spans="4:19">
      <c r="D610" s="31"/>
      <c r="E610" s="974" t="s">
        <v>31</v>
      </c>
      <c r="F610" s="975"/>
      <c r="G610" s="975"/>
      <c r="H610" s="975"/>
      <c r="I610" s="975"/>
      <c r="J610" s="975"/>
      <c r="K610" s="975"/>
      <c r="L610" s="975"/>
      <c r="M610" s="975"/>
      <c r="N610" s="975"/>
      <c r="O610" s="975"/>
      <c r="P610" s="975"/>
      <c r="Q610" s="976"/>
      <c r="R610" s="160"/>
      <c r="S610" s="197"/>
    </row>
    <row r="611" spans="4:19">
      <c r="D611" s="31"/>
      <c r="E611" s="974" t="s">
        <v>138</v>
      </c>
      <c r="F611" s="975"/>
      <c r="G611" s="975"/>
      <c r="H611" s="975"/>
      <c r="I611" s="975"/>
      <c r="J611" s="975"/>
      <c r="K611" s="975"/>
      <c r="L611" s="975"/>
      <c r="M611" s="975"/>
      <c r="N611" s="975"/>
      <c r="O611" s="975"/>
      <c r="P611" s="975"/>
      <c r="Q611" s="978"/>
      <c r="R611" s="157">
        <f>ROUND(I579*(2*K579+2*M579),2)</f>
        <v>16</v>
      </c>
      <c r="S611" s="156" t="s">
        <v>0</v>
      </c>
    </row>
    <row r="612" spans="4:19">
      <c r="D612" s="31"/>
      <c r="E612" s="123"/>
      <c r="F612" s="123"/>
      <c r="G612" s="123"/>
      <c r="H612" s="123"/>
      <c r="I612" s="123"/>
      <c r="J612" s="123"/>
      <c r="K612" s="123"/>
      <c r="L612" s="123"/>
      <c r="M612" s="123"/>
      <c r="N612" s="123"/>
      <c r="O612" s="123"/>
      <c r="P612" s="123"/>
      <c r="Q612" s="123"/>
      <c r="R612" s="158"/>
      <c r="S612" s="403"/>
    </row>
    <row r="613" spans="4:19">
      <c r="D613" s="31"/>
      <c r="E613" s="86"/>
      <c r="F613" s="86"/>
      <c r="G613" s="86"/>
      <c r="H613" s="86"/>
      <c r="I613" s="86"/>
      <c r="J613" s="86"/>
      <c r="K613" s="86"/>
      <c r="L613" s="86"/>
      <c r="M613" s="86"/>
      <c r="N613" s="86"/>
      <c r="O613" s="86"/>
      <c r="P613" s="86"/>
      <c r="Q613" s="86"/>
      <c r="R613" s="158"/>
      <c r="S613" s="403"/>
    </row>
    <row r="614" spans="4:19" ht="12.75" customHeight="1">
      <c r="D614" s="31" t="s">
        <v>580</v>
      </c>
      <c r="E614" s="173" t="s">
        <v>22</v>
      </c>
      <c r="F614" s="181"/>
      <c r="G614" s="181"/>
      <c r="H614" s="181"/>
      <c r="I614" s="181"/>
      <c r="J614" s="181"/>
      <c r="K614" s="181"/>
      <c r="L614" s="181"/>
      <c r="M614" s="181"/>
      <c r="N614" s="181"/>
      <c r="O614" s="181"/>
      <c r="P614" s="181"/>
      <c r="Q614" s="181"/>
      <c r="R614" s="158"/>
      <c r="S614" s="403"/>
    </row>
    <row r="615" spans="4:19">
      <c r="D615" s="31"/>
      <c r="E615" s="86"/>
      <c r="F615" s="86"/>
      <c r="G615" s="86"/>
      <c r="H615" s="86"/>
      <c r="I615" s="86"/>
      <c r="J615" s="86"/>
      <c r="K615" s="86"/>
      <c r="L615" s="86"/>
      <c r="M615" s="86"/>
      <c r="N615" s="86"/>
      <c r="O615" s="86"/>
      <c r="P615" s="86"/>
      <c r="Q615" s="86"/>
      <c r="R615" s="158"/>
      <c r="S615" s="403"/>
    </row>
    <row r="616" spans="4:19">
      <c r="D616" s="31"/>
      <c r="E616" s="974" t="s">
        <v>32</v>
      </c>
      <c r="F616" s="975"/>
      <c r="G616" s="975"/>
      <c r="H616" s="975"/>
      <c r="I616" s="975"/>
      <c r="J616" s="975"/>
      <c r="K616" s="975"/>
      <c r="L616" s="975"/>
      <c r="M616" s="975"/>
      <c r="N616" s="975"/>
      <c r="O616" s="975"/>
      <c r="P616" s="975"/>
      <c r="Q616" s="976"/>
      <c r="R616" s="161"/>
      <c r="S616" s="11"/>
    </row>
    <row r="617" spans="4:19">
      <c r="D617" s="31"/>
      <c r="E617" s="974" t="s">
        <v>139</v>
      </c>
      <c r="F617" s="975"/>
      <c r="G617" s="975"/>
      <c r="H617" s="975"/>
      <c r="I617" s="975"/>
      <c r="J617" s="975"/>
      <c r="K617" s="975"/>
      <c r="L617" s="975"/>
      <c r="M617" s="975"/>
      <c r="N617" s="975"/>
      <c r="O617" s="975"/>
      <c r="P617" s="975"/>
      <c r="Q617" s="978"/>
      <c r="R617" s="157">
        <f>Q579</f>
        <v>8</v>
      </c>
      <c r="S617" s="156" t="s">
        <v>17</v>
      </c>
    </row>
    <row r="618" spans="4:19">
      <c r="D618" s="31"/>
      <c r="E618" s="123"/>
      <c r="F618" s="123"/>
      <c r="G618" s="123"/>
      <c r="H618" s="123"/>
      <c r="I618" s="123"/>
      <c r="J618" s="123"/>
      <c r="K618" s="123"/>
      <c r="L618" s="123"/>
      <c r="M618" s="123"/>
      <c r="N618" s="123"/>
      <c r="O618" s="123"/>
      <c r="P618" s="123"/>
      <c r="Q618" s="123"/>
      <c r="R618" s="158"/>
      <c r="S618" s="403"/>
    </row>
    <row r="619" spans="4:19">
      <c r="D619" s="31"/>
      <c r="E619" s="86"/>
      <c r="F619" s="86"/>
      <c r="G619" s="86"/>
      <c r="H619" s="86"/>
      <c r="I619" s="86"/>
      <c r="J619" s="86"/>
      <c r="K619" s="86"/>
      <c r="L619" s="86"/>
      <c r="M619" s="86"/>
      <c r="N619" s="86"/>
      <c r="O619" s="86"/>
      <c r="P619" s="86"/>
      <c r="Q619" s="86"/>
      <c r="R619" s="158"/>
      <c r="S619" s="403"/>
    </row>
    <row r="620" spans="4:19">
      <c r="D620" s="31" t="s">
        <v>581</v>
      </c>
      <c r="E620" s="173" t="s">
        <v>23</v>
      </c>
      <c r="F620" s="86"/>
      <c r="G620" s="86"/>
      <c r="H620" s="86"/>
      <c r="I620" s="86"/>
      <c r="J620" s="86"/>
      <c r="K620" s="86"/>
      <c r="L620" s="86"/>
      <c r="M620" s="86"/>
      <c r="N620" s="86"/>
      <c r="O620" s="86"/>
      <c r="P620" s="86"/>
      <c r="Q620" s="86"/>
      <c r="R620" s="158"/>
      <c r="S620" s="403"/>
    </row>
    <row r="621" spans="4:19">
      <c r="D621" s="31"/>
      <c r="E621" s="86"/>
      <c r="F621" s="86"/>
      <c r="G621" s="86"/>
      <c r="H621" s="86"/>
      <c r="I621" s="86"/>
      <c r="J621" s="86"/>
      <c r="K621" s="86"/>
      <c r="L621" s="86"/>
      <c r="M621" s="86"/>
      <c r="N621" s="86"/>
      <c r="O621" s="86"/>
      <c r="P621" s="86"/>
      <c r="Q621" s="86"/>
      <c r="R621" s="158"/>
      <c r="S621" s="403"/>
    </row>
    <row r="622" spans="4:19">
      <c r="D622" s="31"/>
      <c r="E622" s="986" t="s">
        <v>1195</v>
      </c>
      <c r="F622" s="987"/>
      <c r="G622" s="987"/>
      <c r="H622" s="987"/>
      <c r="I622" s="987"/>
      <c r="J622" s="987"/>
      <c r="K622" s="987"/>
      <c r="L622" s="987"/>
      <c r="M622" s="987"/>
      <c r="N622" s="987"/>
      <c r="O622" s="987"/>
      <c r="P622" s="987"/>
      <c r="Q622" s="988"/>
      <c r="R622" s="157">
        <f>ROUND((R617*0.05),2)</f>
        <v>0.4</v>
      </c>
      <c r="S622" s="156" t="s">
        <v>18</v>
      </c>
    </row>
    <row r="623" spans="4:19">
      <c r="D623" s="31"/>
      <c r="E623" s="86"/>
      <c r="F623" s="86"/>
      <c r="G623" s="86"/>
      <c r="H623" s="86"/>
      <c r="I623" s="86"/>
      <c r="J623" s="86"/>
      <c r="K623" s="86"/>
      <c r="L623" s="86"/>
      <c r="M623" s="86"/>
      <c r="N623" s="86"/>
      <c r="O623" s="86"/>
      <c r="P623" s="86"/>
      <c r="Q623" s="86"/>
      <c r="R623" s="158"/>
      <c r="S623" s="403"/>
    </row>
    <row r="624" spans="4:19">
      <c r="D624" s="31"/>
      <c r="E624" s="86"/>
      <c r="F624" s="86"/>
      <c r="G624" s="86"/>
      <c r="H624" s="86"/>
      <c r="I624" s="86"/>
      <c r="J624" s="86"/>
      <c r="K624" s="86"/>
      <c r="L624" s="86"/>
      <c r="M624" s="86"/>
      <c r="N624" s="86"/>
      <c r="O624" s="86"/>
      <c r="P624" s="86"/>
      <c r="Q624" s="86"/>
      <c r="R624" s="158"/>
      <c r="S624" s="403"/>
    </row>
    <row r="625" spans="4:21" ht="23.25" customHeight="1">
      <c r="D625" s="31" t="s">
        <v>582</v>
      </c>
      <c r="E625" s="539" t="s">
        <v>178</v>
      </c>
      <c r="F625" s="539"/>
      <c r="G625" s="539"/>
      <c r="H625" s="539"/>
      <c r="I625" s="539"/>
      <c r="J625" s="539"/>
      <c r="K625" s="539"/>
      <c r="L625" s="539"/>
      <c r="M625" s="539"/>
      <c r="N625" s="539"/>
      <c r="O625" s="539"/>
      <c r="P625" s="539"/>
      <c r="Q625" s="539"/>
      <c r="R625" s="158"/>
      <c r="S625" s="403"/>
    </row>
    <row r="626" spans="4:21">
      <c r="D626" s="31"/>
      <c r="E626" s="86"/>
      <c r="F626" s="86"/>
      <c r="G626" s="86"/>
      <c r="H626" s="86"/>
      <c r="I626" s="86"/>
      <c r="J626" s="86"/>
      <c r="K626" s="86"/>
      <c r="L626" s="86"/>
      <c r="M626" s="86"/>
      <c r="N626" s="86"/>
      <c r="O626" s="86"/>
      <c r="P626" s="86"/>
      <c r="Q626" s="86"/>
      <c r="R626" s="158"/>
      <c r="S626" s="403"/>
    </row>
    <row r="627" spans="4:21">
      <c r="D627" s="31"/>
      <c r="E627" s="979" t="s">
        <v>177</v>
      </c>
      <c r="F627" s="980"/>
      <c r="G627" s="980"/>
      <c r="H627" s="980"/>
      <c r="I627" s="980"/>
      <c r="J627" s="980"/>
      <c r="K627" s="980"/>
      <c r="L627" s="980"/>
      <c r="M627" s="980"/>
      <c r="N627" s="980"/>
      <c r="O627" s="980"/>
      <c r="P627" s="980"/>
      <c r="Q627" s="981"/>
      <c r="R627" s="157">
        <f>($I$431*10)*U627</f>
        <v>56</v>
      </c>
      <c r="S627" s="156" t="s">
        <v>179</v>
      </c>
      <c r="U627" s="170">
        <v>0.8</v>
      </c>
    </row>
    <row r="628" spans="4:21">
      <c r="D628" s="31"/>
      <c r="E628" s="86"/>
      <c r="F628" s="86"/>
      <c r="G628" s="86"/>
      <c r="H628" s="86"/>
      <c r="I628" s="86"/>
      <c r="J628" s="86"/>
      <c r="K628" s="86"/>
      <c r="L628" s="86"/>
      <c r="M628" s="86"/>
      <c r="N628" s="86"/>
      <c r="O628" s="86"/>
      <c r="P628" s="86"/>
      <c r="Q628" s="86"/>
      <c r="R628" s="158"/>
      <c r="S628" s="403"/>
    </row>
    <row r="629" spans="4:21">
      <c r="D629" s="31"/>
      <c r="E629" s="86"/>
      <c r="F629" s="86"/>
      <c r="G629" s="86"/>
      <c r="H629" s="86"/>
      <c r="I629" s="86"/>
      <c r="J629" s="86"/>
      <c r="K629" s="86"/>
      <c r="L629" s="86"/>
      <c r="M629" s="86"/>
      <c r="N629" s="86"/>
      <c r="O629" s="86"/>
      <c r="P629" s="86"/>
      <c r="Q629" s="86"/>
      <c r="R629" s="158"/>
      <c r="S629" s="403"/>
    </row>
    <row r="630" spans="4:21" ht="24" customHeight="1">
      <c r="D630" s="31" t="s">
        <v>583</v>
      </c>
      <c r="E630" s="1092" t="s">
        <v>178</v>
      </c>
      <c r="F630" s="1092"/>
      <c r="G630" s="1092"/>
      <c r="H630" s="1092"/>
      <c r="I630" s="1092"/>
      <c r="J630" s="1092"/>
      <c r="K630" s="1092"/>
      <c r="L630" s="1092"/>
      <c r="M630" s="1092"/>
      <c r="N630" s="1092"/>
      <c r="O630" s="1092"/>
      <c r="P630" s="1092"/>
      <c r="Q630" s="1092"/>
      <c r="R630" s="158"/>
      <c r="S630" s="403"/>
    </row>
    <row r="631" spans="4:21">
      <c r="D631" s="31"/>
      <c r="E631" s="86"/>
      <c r="F631" s="86"/>
      <c r="G631" s="86"/>
      <c r="H631" s="86"/>
      <c r="I631" s="86"/>
      <c r="J631" s="86"/>
      <c r="K631" s="86"/>
      <c r="L631" s="86"/>
      <c r="M631" s="86"/>
      <c r="N631" s="86"/>
      <c r="O631" s="86"/>
      <c r="P631" s="86"/>
      <c r="Q631" s="86"/>
      <c r="R631" s="158"/>
      <c r="S631" s="403"/>
    </row>
    <row r="632" spans="4:21">
      <c r="D632" s="31"/>
      <c r="E632" s="979" t="s">
        <v>177</v>
      </c>
      <c r="F632" s="980"/>
      <c r="G632" s="980"/>
      <c r="H632" s="980"/>
      <c r="I632" s="980"/>
      <c r="J632" s="980"/>
      <c r="K632" s="980"/>
      <c r="L632" s="980"/>
      <c r="M632" s="980"/>
      <c r="N632" s="980"/>
      <c r="O632" s="980"/>
      <c r="P632" s="980"/>
      <c r="Q632" s="981"/>
      <c r="R632" s="157">
        <f>($I$431*10)*U632</f>
        <v>14</v>
      </c>
      <c r="S632" s="156" t="s">
        <v>180</v>
      </c>
      <c r="U632" s="170">
        <v>0.2</v>
      </c>
    </row>
    <row r="633" spans="4:21">
      <c r="D633" s="31"/>
      <c r="E633" s="537"/>
      <c r="F633" s="537"/>
      <c r="G633" s="537"/>
      <c r="H633" s="537"/>
      <c r="I633" s="537"/>
      <c r="J633" s="537"/>
      <c r="K633" s="537"/>
      <c r="L633" s="537"/>
      <c r="M633" s="537"/>
      <c r="N633" s="537"/>
      <c r="O633" s="537"/>
      <c r="P633" s="537"/>
      <c r="Q633" s="537"/>
      <c r="R633" s="158"/>
      <c r="S633" s="403"/>
      <c r="U633" s="170"/>
    </row>
    <row r="634" spans="4:21">
      <c r="D634" s="31"/>
      <c r="E634" s="537"/>
      <c r="F634" s="537"/>
      <c r="G634" s="537"/>
      <c r="H634" s="537"/>
      <c r="I634" s="537"/>
      <c r="J634" s="537"/>
      <c r="K634" s="537"/>
      <c r="L634" s="537"/>
      <c r="M634" s="537"/>
      <c r="N634" s="537"/>
      <c r="O634" s="537"/>
      <c r="P634" s="537"/>
      <c r="Q634" s="537"/>
      <c r="R634" s="158"/>
      <c r="S634" s="403"/>
      <c r="U634" s="170"/>
    </row>
    <row r="635" spans="4:21">
      <c r="D635" s="31" t="s">
        <v>584</v>
      </c>
      <c r="E635" s="86" t="s">
        <v>796</v>
      </c>
      <c r="F635" s="86"/>
      <c r="G635" s="86"/>
      <c r="H635" s="86"/>
      <c r="I635" s="86"/>
      <c r="J635" s="86"/>
      <c r="K635" s="86"/>
      <c r="L635" s="86"/>
      <c r="M635" s="86"/>
      <c r="N635" s="86"/>
      <c r="O635" s="86"/>
      <c r="P635" s="86"/>
      <c r="Q635" s="86"/>
      <c r="R635" s="403"/>
      <c r="U635" s="170"/>
    </row>
    <row r="636" spans="4:21">
      <c r="D636" s="31"/>
      <c r="E636" s="86"/>
      <c r="F636" s="86" t="s">
        <v>198</v>
      </c>
      <c r="G636" s="86"/>
      <c r="H636" s="86"/>
      <c r="I636" s="86"/>
      <c r="J636" s="86"/>
      <c r="K636" s="86"/>
      <c r="L636" s="86" t="s">
        <v>192</v>
      </c>
      <c r="M636" s="171">
        <v>0</v>
      </c>
      <c r="N636" s="172" t="s">
        <v>193</v>
      </c>
      <c r="O636" s="86"/>
      <c r="P636" s="86"/>
      <c r="Q636" s="86"/>
      <c r="R636" s="403"/>
      <c r="U636" s="170"/>
    </row>
    <row r="637" spans="4:21">
      <c r="D637" s="31"/>
      <c r="E637" s="86"/>
      <c r="F637" s="86"/>
      <c r="G637" s="86"/>
      <c r="H637" s="86"/>
      <c r="I637" s="86"/>
      <c r="J637" s="86"/>
      <c r="K637" s="86"/>
      <c r="L637" s="86"/>
      <c r="M637" s="86"/>
      <c r="N637" s="86"/>
      <c r="O637" s="86"/>
      <c r="P637" s="86"/>
      <c r="Q637" s="86"/>
      <c r="R637" s="403"/>
      <c r="U637" s="170"/>
    </row>
    <row r="638" spans="4:21">
      <c r="D638" s="31"/>
      <c r="E638" s="86"/>
      <c r="F638" s="86" t="s">
        <v>199</v>
      </c>
      <c r="G638" s="86"/>
      <c r="H638" s="86"/>
      <c r="I638" s="86"/>
      <c r="J638" s="86"/>
      <c r="K638" s="86"/>
      <c r="L638" s="86" t="s">
        <v>192</v>
      </c>
      <c r="M638" s="536">
        <f>O579</f>
        <v>1.5</v>
      </c>
      <c r="N638" s="172" t="s">
        <v>0</v>
      </c>
      <c r="O638" s="86"/>
      <c r="P638" s="86"/>
      <c r="Q638" s="86"/>
      <c r="R638" s="403"/>
      <c r="U638" s="170"/>
    </row>
    <row r="639" spans="4:21">
      <c r="D639" s="31"/>
      <c r="E639" s="86"/>
      <c r="F639" s="86"/>
      <c r="G639" s="86"/>
      <c r="H639" s="86"/>
      <c r="I639" s="86"/>
      <c r="J639" s="86"/>
      <c r="K639" s="86"/>
      <c r="L639" s="86"/>
      <c r="M639" s="86"/>
      <c r="N639" s="86"/>
      <c r="O639" s="86"/>
      <c r="P639" s="86"/>
      <c r="Q639" s="86"/>
      <c r="R639" s="403"/>
      <c r="U639" s="170"/>
    </row>
    <row r="640" spans="4:21">
      <c r="D640" s="31"/>
      <c r="E640" s="86" t="s">
        <v>1252</v>
      </c>
      <c r="F640" s="86"/>
      <c r="G640" s="86"/>
      <c r="H640" s="86"/>
      <c r="I640" s="86"/>
      <c r="J640" s="86"/>
      <c r="K640" s="86"/>
      <c r="L640" s="86"/>
      <c r="M640" s="86"/>
      <c r="N640" s="86"/>
      <c r="O640" s="86"/>
      <c r="P640" s="86"/>
      <c r="Q640" s="86"/>
      <c r="R640" s="159">
        <f>(((K579*2+M579*2)*M638)*I579)</f>
        <v>24</v>
      </c>
      <c r="S640" s="156" t="s">
        <v>17</v>
      </c>
      <c r="U640" s="170"/>
    </row>
    <row r="641" spans="4:23">
      <c r="D641" s="31"/>
      <c r="E641" s="86"/>
      <c r="F641" s="86"/>
      <c r="G641" s="86"/>
      <c r="H641" s="86"/>
      <c r="I641" s="86"/>
      <c r="J641" s="86"/>
      <c r="K641" s="86"/>
      <c r="L641" s="86"/>
      <c r="M641" s="86"/>
      <c r="N641" s="86"/>
      <c r="O641" s="86"/>
      <c r="P641" s="86"/>
      <c r="Q641" s="86"/>
      <c r="R641" s="158"/>
      <c r="S641" s="403"/>
    </row>
    <row r="642" spans="4:23">
      <c r="D642" s="31"/>
      <c r="E642" s="86"/>
      <c r="F642" s="86"/>
      <c r="G642" s="86"/>
      <c r="H642" s="86"/>
      <c r="I642" s="86"/>
      <c r="J642" s="86"/>
      <c r="K642" s="86"/>
      <c r="L642" s="86"/>
      <c r="M642" s="86"/>
      <c r="N642" s="86"/>
      <c r="O642" s="86"/>
      <c r="P642" s="86"/>
      <c r="Q642" s="86"/>
      <c r="R642" s="158"/>
      <c r="S642" s="403"/>
    </row>
    <row r="643" spans="4:23">
      <c r="D643" s="31" t="s">
        <v>585</v>
      </c>
      <c r="E643" s="173" t="s">
        <v>1399</v>
      </c>
      <c r="F643" s="86"/>
      <c r="G643" s="86"/>
      <c r="H643" s="86"/>
      <c r="I643" s="86"/>
      <c r="J643" s="86"/>
      <c r="K643" s="86"/>
      <c r="L643" s="86"/>
      <c r="M643" s="86"/>
      <c r="N643" s="86"/>
      <c r="O643" s="86"/>
      <c r="P643" s="86"/>
      <c r="Q643" s="86"/>
      <c r="R643" s="158"/>
      <c r="S643" s="403"/>
    </row>
    <row r="644" spans="4:23">
      <c r="D644" s="31"/>
      <c r="E644" s="86"/>
      <c r="F644" s="86"/>
      <c r="G644" s="86"/>
      <c r="H644" s="86"/>
      <c r="I644" s="86"/>
      <c r="J644" s="86"/>
      <c r="K644" s="86"/>
      <c r="L644" s="86"/>
      <c r="M644" s="86"/>
      <c r="N644" s="86"/>
      <c r="O644" s="86"/>
      <c r="P644" s="86"/>
      <c r="Q644" s="86"/>
      <c r="R644" s="403"/>
      <c r="U644" s="522"/>
    </row>
    <row r="645" spans="4:23">
      <c r="D645" s="31"/>
      <c r="E645" s="974" t="s">
        <v>1400</v>
      </c>
      <c r="F645" s="975"/>
      <c r="G645" s="975"/>
      <c r="H645" s="975"/>
      <c r="I645" s="975"/>
      <c r="J645" s="975"/>
      <c r="K645" s="975"/>
      <c r="L645" s="975"/>
      <c r="M645" s="975"/>
      <c r="N645" s="975"/>
      <c r="O645" s="975"/>
      <c r="P645" s="975"/>
      <c r="Q645" s="976"/>
      <c r="R645" s="157">
        <f>Q579*O579</f>
        <v>12</v>
      </c>
      <c r="S645" s="156" t="s">
        <v>18</v>
      </c>
    </row>
    <row r="646" spans="4:23">
      <c r="D646" s="31"/>
      <c r="E646" s="8"/>
      <c r="F646" s="179"/>
      <c r="G646" s="179"/>
      <c r="H646" s="179"/>
      <c r="I646" s="179"/>
      <c r="J646" s="179"/>
      <c r="K646" s="179"/>
      <c r="L646" s="179"/>
      <c r="M646" s="179"/>
      <c r="N646" s="179"/>
      <c r="O646" s="179"/>
      <c r="P646" s="179"/>
      <c r="Q646" s="179"/>
      <c r="R646" s="158"/>
      <c r="S646" s="403"/>
    </row>
    <row r="647" spans="4:23">
      <c r="D647" s="31"/>
      <c r="E647" s="86"/>
      <c r="F647" s="86"/>
      <c r="G647" s="86"/>
      <c r="H647" s="86"/>
      <c r="I647" s="86"/>
      <c r="J647" s="86"/>
      <c r="K647" s="86"/>
      <c r="L647" s="86"/>
      <c r="M647" s="86"/>
      <c r="N647" s="86"/>
      <c r="O647" s="86"/>
      <c r="P647" s="86"/>
      <c r="Q647" s="86"/>
      <c r="R647" s="158"/>
      <c r="S647" s="403"/>
    </row>
    <row r="648" spans="4:23">
      <c r="D648" s="31" t="s">
        <v>586</v>
      </c>
      <c r="E648" s="173" t="s">
        <v>96</v>
      </c>
      <c r="F648" s="86"/>
      <c r="G648" s="86"/>
      <c r="H648" s="86"/>
      <c r="I648" s="86"/>
      <c r="J648" s="86"/>
      <c r="K648" s="86"/>
      <c r="L648" s="86"/>
      <c r="M648" s="86"/>
      <c r="N648" s="86"/>
      <c r="O648" s="86"/>
      <c r="P648" s="86"/>
      <c r="Q648" s="86"/>
      <c r="R648" s="158"/>
      <c r="S648" s="403"/>
    </row>
    <row r="649" spans="4:23">
      <c r="E649" s="86"/>
      <c r="F649" s="86"/>
      <c r="G649" s="86"/>
      <c r="H649" s="86"/>
      <c r="I649" s="86"/>
      <c r="J649" s="86"/>
      <c r="K649" s="86"/>
      <c r="L649" s="86"/>
      <c r="M649" s="86"/>
      <c r="N649" s="86"/>
      <c r="O649" s="86"/>
      <c r="P649" s="86"/>
      <c r="Q649" s="86"/>
      <c r="R649" s="158"/>
      <c r="S649" s="403"/>
      <c r="U649" s="472" t="s">
        <v>1191</v>
      </c>
      <c r="V649" s="236">
        <v>0.15</v>
      </c>
      <c r="W649" s="534" t="s">
        <v>0</v>
      </c>
    </row>
    <row r="650" spans="4:23">
      <c r="D650" s="31"/>
      <c r="E650" s="974" t="s">
        <v>34</v>
      </c>
      <c r="F650" s="975"/>
      <c r="G650" s="975"/>
      <c r="H650" s="975"/>
      <c r="I650" s="975"/>
      <c r="J650" s="975"/>
      <c r="K650" s="975"/>
      <c r="L650" s="975"/>
      <c r="M650" s="975"/>
      <c r="N650" s="975"/>
      <c r="O650" s="975"/>
      <c r="P650" s="975"/>
      <c r="Q650" s="976"/>
      <c r="R650" s="156"/>
      <c r="S650" s="11"/>
    </row>
    <row r="651" spans="4:23">
      <c r="D651" s="31"/>
      <c r="E651" s="974" t="s">
        <v>140</v>
      </c>
      <c r="F651" s="975"/>
      <c r="G651" s="975"/>
      <c r="H651" s="975"/>
      <c r="I651" s="975"/>
      <c r="J651" s="975"/>
      <c r="K651" s="975"/>
      <c r="L651" s="975"/>
      <c r="M651" s="975"/>
      <c r="N651" s="975"/>
      <c r="O651" s="975"/>
      <c r="P651" s="975"/>
      <c r="Q651" s="978"/>
      <c r="R651" s="157">
        <f>Q579*V649</f>
        <v>1.2</v>
      </c>
      <c r="S651" s="156" t="s">
        <v>18</v>
      </c>
    </row>
    <row r="652" spans="4:23">
      <c r="D652" s="31"/>
      <c r="E652" s="86"/>
      <c r="F652" s="86"/>
      <c r="G652" s="86"/>
      <c r="H652" s="86"/>
      <c r="I652" s="86"/>
      <c r="J652" s="86"/>
      <c r="K652" s="86"/>
      <c r="L652" s="86"/>
      <c r="M652" s="86"/>
      <c r="N652" s="86"/>
      <c r="O652" s="86"/>
      <c r="P652" s="86"/>
      <c r="Q652" s="86"/>
      <c r="R652" s="158"/>
      <c r="S652" s="403"/>
    </row>
    <row r="653" spans="4:23">
      <c r="D653" s="31"/>
      <c r="E653" s="86"/>
      <c r="F653" s="86"/>
      <c r="G653" s="86"/>
      <c r="H653" s="86"/>
      <c r="I653" s="86"/>
      <c r="J653" s="86"/>
      <c r="K653" s="86"/>
      <c r="L653" s="86"/>
      <c r="M653" s="86"/>
      <c r="N653" s="86"/>
      <c r="O653" s="86"/>
      <c r="P653" s="86"/>
      <c r="Q653" s="86"/>
      <c r="R653" s="158"/>
      <c r="S653" s="403"/>
    </row>
    <row r="654" spans="4:23">
      <c r="D654" s="31" t="s">
        <v>587</v>
      </c>
      <c r="E654" s="173" t="s">
        <v>24</v>
      </c>
      <c r="F654" s="86"/>
      <c r="G654" s="86"/>
      <c r="H654" s="86"/>
      <c r="I654" s="86"/>
      <c r="J654" s="86"/>
      <c r="K654" s="86"/>
      <c r="L654" s="86"/>
      <c r="M654" s="86"/>
      <c r="N654" s="86"/>
      <c r="O654" s="86"/>
      <c r="P654" s="86"/>
      <c r="Q654" s="86"/>
      <c r="R654" s="158"/>
      <c r="S654" s="403"/>
    </row>
    <row r="655" spans="4:23">
      <c r="E655" s="86"/>
      <c r="F655" s="86"/>
      <c r="G655" s="86"/>
      <c r="H655" s="86"/>
      <c r="I655" s="86"/>
      <c r="J655" s="86"/>
      <c r="K655" s="86"/>
      <c r="L655" s="86"/>
      <c r="M655" s="86"/>
      <c r="N655" s="86"/>
      <c r="O655" s="86"/>
      <c r="P655" s="86"/>
      <c r="Q655" s="86"/>
      <c r="R655" s="158"/>
      <c r="S655" s="403"/>
    </row>
    <row r="656" spans="4:23">
      <c r="D656" s="31"/>
      <c r="E656" s="979" t="s">
        <v>1198</v>
      </c>
      <c r="F656" s="980"/>
      <c r="G656" s="980"/>
      <c r="H656" s="980"/>
      <c r="I656" s="980"/>
      <c r="J656" s="980"/>
      <c r="K656" s="980"/>
      <c r="L656" s="980"/>
      <c r="M656" s="980"/>
      <c r="N656" s="980"/>
      <c r="O656" s="980"/>
      <c r="P656" s="980"/>
      <c r="Q656" s="981"/>
      <c r="R656" s="159">
        <f>R617</f>
        <v>8</v>
      </c>
      <c r="S656" s="498" t="s">
        <v>17</v>
      </c>
    </row>
    <row r="657" spans="3:23">
      <c r="D657" s="31"/>
      <c r="E657" s="86"/>
      <c r="F657" s="86"/>
      <c r="G657" s="86"/>
      <c r="H657" s="86"/>
      <c r="I657" s="86"/>
      <c r="J657" s="86"/>
      <c r="K657" s="86"/>
      <c r="L657" s="86"/>
      <c r="M657" s="86"/>
      <c r="N657" s="86"/>
      <c r="O657" s="86"/>
      <c r="P657" s="86"/>
      <c r="Q657" s="86"/>
      <c r="R657" s="158"/>
      <c r="S657" s="403"/>
    </row>
    <row r="658" spans="3:23">
      <c r="D658" s="31"/>
      <c r="E658" s="86"/>
      <c r="F658" s="86"/>
      <c r="G658" s="86"/>
      <c r="H658" s="86"/>
      <c r="I658" s="86"/>
      <c r="J658" s="86"/>
      <c r="K658" s="86"/>
      <c r="L658" s="86"/>
      <c r="M658" s="86"/>
      <c r="N658" s="86"/>
      <c r="O658" s="86"/>
      <c r="P658" s="86"/>
      <c r="Q658" s="86"/>
      <c r="R658" s="158"/>
      <c r="S658" s="403"/>
    </row>
    <row r="659" spans="3:23">
      <c r="D659" s="31" t="s">
        <v>1210</v>
      </c>
      <c r="E659" s="173" t="s">
        <v>353</v>
      </c>
      <c r="F659" s="86"/>
      <c r="G659" s="86"/>
      <c r="H659" s="86"/>
      <c r="I659" s="86"/>
      <c r="J659" s="86"/>
      <c r="K659" s="86"/>
      <c r="L659" s="86"/>
      <c r="M659" s="86"/>
      <c r="N659" s="86"/>
      <c r="O659" s="86"/>
      <c r="P659" s="86"/>
      <c r="Q659" s="86"/>
      <c r="R659" s="158"/>
      <c r="S659" s="403"/>
      <c r="U659" s="472" t="s">
        <v>1192</v>
      </c>
    </row>
    <row r="660" spans="3:23">
      <c r="E660" s="86"/>
      <c r="F660" s="86"/>
      <c r="G660" s="86"/>
      <c r="H660" s="86"/>
      <c r="I660" s="86"/>
      <c r="J660" s="86"/>
      <c r="K660" s="86"/>
      <c r="L660" s="86"/>
      <c r="M660" s="86"/>
      <c r="N660" s="86"/>
      <c r="O660" s="86"/>
      <c r="P660" s="86"/>
      <c r="Q660" s="86"/>
      <c r="R660" s="158"/>
      <c r="S660" s="403"/>
      <c r="U660" s="236">
        <v>0.05</v>
      </c>
      <c r="V660" s="534" t="s">
        <v>0</v>
      </c>
    </row>
    <row r="661" spans="3:23">
      <c r="D661" s="31"/>
      <c r="E661" s="974" t="s">
        <v>1211</v>
      </c>
      <c r="F661" s="975"/>
      <c r="G661" s="975"/>
      <c r="H661" s="975"/>
      <c r="I661" s="975"/>
      <c r="J661" s="975"/>
      <c r="K661" s="975"/>
      <c r="L661" s="975"/>
      <c r="M661" s="975"/>
      <c r="N661" s="975"/>
      <c r="O661" s="975"/>
      <c r="P661" s="975"/>
      <c r="Q661" s="976"/>
      <c r="R661" s="157">
        <f>Q579*U660</f>
        <v>0.4</v>
      </c>
      <c r="S661" s="156" t="s">
        <v>18</v>
      </c>
    </row>
    <row r="664" spans="3:23">
      <c r="C664" s="132" t="s">
        <v>338</v>
      </c>
      <c r="D664" s="176" t="s">
        <v>1140</v>
      </c>
      <c r="E664" s="177"/>
      <c r="F664" s="177"/>
      <c r="G664" s="177"/>
      <c r="H664" s="177"/>
      <c r="I664" s="177"/>
      <c r="J664" s="177"/>
      <c r="K664" s="177"/>
      <c r="L664" s="177"/>
      <c r="M664" s="177"/>
      <c r="N664" s="177"/>
      <c r="O664" s="177"/>
      <c r="P664" s="177"/>
      <c r="Q664" s="177"/>
      <c r="R664" s="205"/>
      <c r="S664" s="205"/>
      <c r="T664" s="177"/>
      <c r="U664" s="177"/>
      <c r="V664" s="178"/>
    </row>
    <row r="665" spans="3:23">
      <c r="D665" s="174"/>
      <c r="E665" s="174"/>
      <c r="F665" s="174"/>
      <c r="G665" s="174"/>
      <c r="H665" s="174"/>
      <c r="I665" s="174"/>
      <c r="J665" s="174"/>
      <c r="K665" s="174"/>
      <c r="L665" s="174"/>
      <c r="M665" s="174"/>
      <c r="N665" s="174"/>
      <c r="O665" s="174"/>
      <c r="P665" s="174"/>
      <c r="Q665" s="174"/>
      <c r="R665" s="205"/>
      <c r="S665" s="501"/>
      <c r="T665" s="174"/>
      <c r="U665" s="174"/>
      <c r="V665" s="174"/>
    </row>
    <row r="666" spans="3:23">
      <c r="D666" s="31" t="s">
        <v>570</v>
      </c>
      <c r="E666" s="173" t="s">
        <v>185</v>
      </c>
      <c r="R666" s="157">
        <f>1*1.5</f>
        <v>1.5</v>
      </c>
      <c r="S666" s="156" t="s">
        <v>0</v>
      </c>
      <c r="U666" s="512" t="s">
        <v>822</v>
      </c>
      <c r="V666" s="513">
        <v>0.5</v>
      </c>
      <c r="W666" s="514" t="s">
        <v>0</v>
      </c>
    </row>
    <row r="667" spans="3:23">
      <c r="D667" s="31" t="s">
        <v>589</v>
      </c>
      <c r="E667" s="173" t="s">
        <v>355</v>
      </c>
      <c r="R667" s="157">
        <f>1</f>
        <v>1</v>
      </c>
      <c r="S667" s="156" t="s">
        <v>987</v>
      </c>
      <c r="U667" s="515" t="s">
        <v>858</v>
      </c>
      <c r="V667" s="156">
        <v>0.5</v>
      </c>
      <c r="W667" s="516" t="s">
        <v>0</v>
      </c>
    </row>
    <row r="668" spans="3:23">
      <c r="D668" s="31" t="s">
        <v>590</v>
      </c>
      <c r="E668" s="173" t="s">
        <v>168</v>
      </c>
      <c r="R668" s="157">
        <f>1</f>
        <v>1</v>
      </c>
      <c r="S668" s="156" t="s">
        <v>987</v>
      </c>
      <c r="U668" s="517" t="s">
        <v>1167</v>
      </c>
      <c r="V668" s="518">
        <v>0.15</v>
      </c>
      <c r="W668" s="519" t="s">
        <v>0</v>
      </c>
    </row>
    <row r="669" spans="3:23">
      <c r="D669" s="31" t="s">
        <v>591</v>
      </c>
      <c r="E669" s="173" t="s">
        <v>119</v>
      </c>
      <c r="R669" s="157">
        <f>1*(V666*V667*V668)</f>
        <v>3.7499999999999999E-2</v>
      </c>
      <c r="S669" s="156" t="s">
        <v>18</v>
      </c>
    </row>
    <row r="670" spans="3:23">
      <c r="D670" s="31" t="s">
        <v>592</v>
      </c>
      <c r="E670" s="173" t="s">
        <v>120</v>
      </c>
      <c r="R670" s="157">
        <f>((V666*2+V667*2)*V668)*1</f>
        <v>0.3</v>
      </c>
      <c r="S670" s="156" t="s">
        <v>17</v>
      </c>
    </row>
    <row r="671" spans="3:23">
      <c r="D671" s="31" t="s">
        <v>593</v>
      </c>
      <c r="E671" s="173" t="s">
        <v>117</v>
      </c>
      <c r="R671" s="157">
        <f>R670*80</f>
        <v>24</v>
      </c>
      <c r="S671" s="156" t="s">
        <v>130</v>
      </c>
    </row>
    <row r="674" spans="3:22">
      <c r="C674" s="132" t="s">
        <v>339</v>
      </c>
      <c r="D674" s="176" t="s">
        <v>1204</v>
      </c>
      <c r="E674" s="177"/>
      <c r="F674" s="177"/>
      <c r="G674" s="177"/>
      <c r="H674" s="177"/>
      <c r="I674" s="177"/>
      <c r="J674" s="177"/>
      <c r="K674" s="177"/>
      <c r="L674" s="177"/>
      <c r="M674" s="177"/>
      <c r="N674" s="177"/>
      <c r="O674" s="177"/>
      <c r="P674" s="177"/>
      <c r="Q674" s="177"/>
      <c r="R674" s="205"/>
      <c r="S674" s="205"/>
      <c r="T674" s="177"/>
      <c r="U674" s="177"/>
      <c r="V674" s="178"/>
    </row>
    <row r="675" spans="3:22">
      <c r="D675" s="174"/>
      <c r="E675" s="174"/>
      <c r="F675" s="174"/>
      <c r="G675" s="174"/>
      <c r="H675" s="174"/>
      <c r="I675" s="174"/>
      <c r="J675" s="174"/>
      <c r="K675" s="174"/>
      <c r="L675" s="174"/>
      <c r="M675" s="174"/>
      <c r="N675" s="174"/>
      <c r="O675" s="174"/>
      <c r="P675" s="174"/>
      <c r="Q675" s="174"/>
      <c r="R675" s="205"/>
      <c r="S675" s="205"/>
      <c r="T675" s="174"/>
      <c r="U675" s="174"/>
      <c r="V675" s="174"/>
    </row>
    <row r="676" spans="3:22">
      <c r="D676" s="31" t="str">
        <f>'Planilha Orçamentária'!A308</f>
        <v>9.5.1</v>
      </c>
      <c r="E676" s="173" t="str">
        <f>'Planilha Orçamentária'!B308</f>
        <v>Ancoragem em Pontalete de Madeira DN50, 80 e 100 mm</v>
      </c>
      <c r="R676" s="157">
        <v>1</v>
      </c>
      <c r="S676" s="403" t="s">
        <v>987</v>
      </c>
    </row>
    <row r="679" spans="3:22">
      <c r="C679" s="132" t="s">
        <v>572</v>
      </c>
      <c r="D679" s="476" t="s">
        <v>19</v>
      </c>
      <c r="E679" s="477"/>
      <c r="F679" s="477"/>
      <c r="G679" s="477"/>
      <c r="H679" s="477"/>
      <c r="I679" s="477"/>
      <c r="J679" s="477"/>
      <c r="K679" s="477"/>
      <c r="L679" s="477"/>
      <c r="M679" s="477"/>
      <c r="N679" s="477"/>
      <c r="O679" s="477"/>
      <c r="P679" s="477"/>
      <c r="Q679" s="477"/>
      <c r="R679" s="477"/>
      <c r="S679" s="477"/>
      <c r="T679" s="477"/>
      <c r="U679" s="477"/>
      <c r="V679" s="504"/>
    </row>
    <row r="680" spans="3:22">
      <c r="D680" s="444"/>
      <c r="E680" s="444"/>
      <c r="F680" s="444"/>
      <c r="G680" s="444"/>
      <c r="H680" s="444"/>
      <c r="I680" s="444"/>
      <c r="J680" s="444"/>
      <c r="K680" s="444"/>
      <c r="L680" s="444"/>
      <c r="M680" s="444"/>
      <c r="N680" s="10"/>
      <c r="O680" s="444"/>
      <c r="P680" s="444"/>
      <c r="Q680" s="444"/>
      <c r="R680" s="136"/>
      <c r="S680" s="136"/>
      <c r="T680" s="444"/>
      <c r="U680" s="444"/>
      <c r="V680" s="444"/>
    </row>
    <row r="681" spans="3:22">
      <c r="D681" s="1020" t="s">
        <v>102</v>
      </c>
      <c r="E681" s="1020"/>
      <c r="F681" s="1020"/>
      <c r="G681" s="1020"/>
      <c r="H681" s="1020"/>
      <c r="I681" s="1020"/>
      <c r="J681" s="1020"/>
      <c r="K681" s="1020"/>
      <c r="L681" s="1020"/>
      <c r="M681" s="1020"/>
      <c r="N681" s="14"/>
      <c r="O681" s="1059"/>
      <c r="P681" s="1059"/>
      <c r="Q681" s="1059"/>
      <c r="R681" s="1059"/>
      <c r="S681" s="1059"/>
      <c r="T681" s="1059"/>
      <c r="U681" s="1059"/>
      <c r="V681" s="1059"/>
    </row>
    <row r="682" spans="3:22">
      <c r="D682" s="1003" t="s">
        <v>103</v>
      </c>
      <c r="E682" s="1003"/>
      <c r="F682" s="1003"/>
      <c r="G682" s="1003"/>
      <c r="H682" s="1003"/>
      <c r="I682" s="1003" t="s">
        <v>1</v>
      </c>
      <c r="J682" s="1003"/>
      <c r="K682" s="1003"/>
      <c r="L682" s="1003"/>
      <c r="M682" s="1003"/>
      <c r="N682" s="15"/>
      <c r="O682" s="1019"/>
      <c r="P682" s="1019"/>
      <c r="Q682" s="1019"/>
      <c r="R682" s="1019"/>
      <c r="S682" s="1019"/>
      <c r="T682" s="1019"/>
      <c r="U682" s="1019"/>
      <c r="V682" s="1019"/>
    </row>
    <row r="683" spans="3:22">
      <c r="D683" s="1006"/>
      <c r="E683" s="1006"/>
      <c r="F683" s="1006"/>
      <c r="G683" s="1006"/>
      <c r="H683" s="1006"/>
      <c r="I683" s="1006"/>
      <c r="J683" s="1006"/>
      <c r="K683" s="1006"/>
      <c r="L683" s="1006"/>
      <c r="M683" s="1006"/>
      <c r="N683" s="23"/>
      <c r="O683" s="1016"/>
      <c r="P683" s="1016"/>
      <c r="Q683" s="1017"/>
      <c r="R683" s="1017"/>
      <c r="S683" s="1014"/>
      <c r="T683" s="1014"/>
      <c r="U683" s="1015"/>
      <c r="V683" s="1015"/>
    </row>
    <row r="684" spans="3:22">
      <c r="D684" s="544">
        <v>1</v>
      </c>
      <c r="E684" s="542" t="s">
        <v>108</v>
      </c>
      <c r="F684" s="993" t="s">
        <v>109</v>
      </c>
      <c r="G684" s="993"/>
      <c r="H684" s="993"/>
      <c r="I684" s="544">
        <f>$I$579*D684</f>
        <v>2</v>
      </c>
      <c r="J684" s="542" t="s">
        <v>108</v>
      </c>
      <c r="K684" s="993" t="s">
        <v>109</v>
      </c>
      <c r="L684" s="993"/>
      <c r="M684" s="993"/>
      <c r="N684" s="20"/>
      <c r="O684" s="1091"/>
      <c r="P684" s="1091"/>
      <c r="Q684" s="1091"/>
      <c r="R684" s="1091"/>
      <c r="S684" s="1091"/>
      <c r="T684" s="1091"/>
      <c r="U684" s="1091"/>
      <c r="V684" s="1091"/>
    </row>
    <row r="685" spans="3:22">
      <c r="D685" s="544">
        <v>2</v>
      </c>
      <c r="E685" s="542" t="s">
        <v>108</v>
      </c>
      <c r="F685" s="993" t="s">
        <v>110</v>
      </c>
      <c r="G685" s="993"/>
      <c r="H685" s="993"/>
      <c r="I685" s="544">
        <f t="shared" ref="I685:I687" si="12">$I$579*D685</f>
        <v>4</v>
      </c>
      <c r="J685" s="542" t="s">
        <v>108</v>
      </c>
      <c r="K685" s="993" t="s">
        <v>110</v>
      </c>
      <c r="L685" s="993"/>
      <c r="M685" s="993"/>
      <c r="N685" s="20"/>
      <c r="O685" s="1059"/>
      <c r="P685" s="1059"/>
      <c r="Q685" s="1059"/>
      <c r="R685" s="1059"/>
      <c r="S685" s="1059"/>
      <c r="T685" s="1059"/>
      <c r="U685" s="1059"/>
      <c r="V685" s="1059"/>
    </row>
    <row r="686" spans="3:22">
      <c r="D686" s="544">
        <v>8</v>
      </c>
      <c r="E686" s="542" t="s">
        <v>108</v>
      </c>
      <c r="F686" s="993" t="s">
        <v>113</v>
      </c>
      <c r="G686" s="993"/>
      <c r="H686" s="993"/>
      <c r="I686" s="544">
        <f t="shared" si="12"/>
        <v>16</v>
      </c>
      <c r="J686" s="542" t="s">
        <v>108</v>
      </c>
      <c r="K686" s="993" t="s">
        <v>113</v>
      </c>
      <c r="L686" s="993"/>
      <c r="M686" s="993"/>
      <c r="N686" s="21"/>
      <c r="O686" s="133"/>
      <c r="P686" s="405"/>
      <c r="Q686" s="994"/>
      <c r="R686" s="994"/>
      <c r="S686" s="134"/>
      <c r="T686" s="405"/>
      <c r="U686" s="994"/>
      <c r="V686" s="994"/>
    </row>
    <row r="687" spans="3:22">
      <c r="D687" s="544">
        <v>8</v>
      </c>
      <c r="E687" s="542" t="s">
        <v>108</v>
      </c>
      <c r="F687" s="993" t="s">
        <v>114</v>
      </c>
      <c r="G687" s="993"/>
      <c r="H687" s="993"/>
      <c r="I687" s="544">
        <f t="shared" si="12"/>
        <v>16</v>
      </c>
      <c r="J687" s="542" t="s">
        <v>108</v>
      </c>
      <c r="K687" s="993" t="s">
        <v>114</v>
      </c>
      <c r="L687" s="993"/>
      <c r="M687" s="993"/>
      <c r="N687" s="21"/>
      <c r="O687" s="133"/>
      <c r="P687" s="405"/>
      <c r="Q687" s="994"/>
      <c r="R687" s="994"/>
      <c r="S687" s="134"/>
      <c r="T687" s="405"/>
      <c r="U687" s="994"/>
      <c r="V687" s="994"/>
    </row>
    <row r="688" spans="3:22">
      <c r="D688" s="544">
        <v>4</v>
      </c>
      <c r="E688" s="542" t="s">
        <v>108</v>
      </c>
      <c r="F688" s="1005" t="s">
        <v>243</v>
      </c>
      <c r="G688" s="1006"/>
      <c r="H688" s="1007"/>
      <c r="I688" s="544">
        <f>D688*1</f>
        <v>4</v>
      </c>
      <c r="J688" s="543" t="s">
        <v>108</v>
      </c>
      <c r="K688" s="1008" t="s">
        <v>243</v>
      </c>
      <c r="L688" s="1009"/>
      <c r="M688" s="1010"/>
      <c r="N688" s="38"/>
      <c r="O688" s="133"/>
      <c r="P688" s="135"/>
      <c r="Q688" s="994"/>
      <c r="R688" s="994"/>
      <c r="S688" s="134"/>
      <c r="T688" s="405"/>
      <c r="U688" s="994"/>
      <c r="V688" s="994"/>
    </row>
    <row r="689" spans="3:22">
      <c r="D689" s="544">
        <v>4</v>
      </c>
      <c r="E689" s="543" t="s">
        <v>108</v>
      </c>
      <c r="F689" s="1018" t="s">
        <v>244</v>
      </c>
      <c r="G689" s="1018"/>
      <c r="H689" s="1018"/>
      <c r="I689" s="544">
        <f>D689*1</f>
        <v>4</v>
      </c>
      <c r="J689" s="543" t="s">
        <v>108</v>
      </c>
      <c r="K689" s="1018" t="s">
        <v>244</v>
      </c>
      <c r="L689" s="1018"/>
      <c r="M689" s="1018"/>
      <c r="N689" s="23"/>
      <c r="O689" s="133"/>
      <c r="P689" s="135"/>
      <c r="Q689" s="994"/>
      <c r="R689" s="994"/>
      <c r="S689" s="134"/>
      <c r="T689" s="405"/>
      <c r="U689" s="994"/>
      <c r="V689" s="994"/>
    </row>
    <row r="690" spans="3:22">
      <c r="N690" s="474"/>
    </row>
    <row r="691" spans="3:22">
      <c r="D691" s="88"/>
      <c r="E691" s="88"/>
      <c r="F691" s="88"/>
      <c r="G691" s="88"/>
      <c r="H691" s="88"/>
      <c r="I691" s="88"/>
      <c r="J691" s="88"/>
      <c r="K691" s="88"/>
      <c r="L691" s="88"/>
      <c r="M691" s="88"/>
      <c r="N691" s="88"/>
      <c r="O691" s="88"/>
      <c r="P691" s="88"/>
      <c r="Q691" s="88"/>
      <c r="R691" s="154"/>
      <c r="S691" s="154"/>
      <c r="T691" s="88"/>
      <c r="U691" s="88"/>
      <c r="V691" s="88"/>
    </row>
    <row r="692" spans="3:22">
      <c r="D692" s="1011" t="s">
        <v>115</v>
      </c>
      <c r="E692" s="1012"/>
      <c r="F692" s="1012"/>
      <c r="G692" s="1012"/>
      <c r="H692" s="1013"/>
      <c r="I692" s="88"/>
      <c r="J692" s="88"/>
      <c r="K692" s="88"/>
      <c r="L692" s="88"/>
      <c r="M692" s="88"/>
      <c r="N692" s="88"/>
      <c r="O692" s="88"/>
      <c r="P692" s="88"/>
      <c r="Q692" s="88"/>
      <c r="S692" s="154"/>
      <c r="T692" s="88"/>
      <c r="U692" s="88"/>
      <c r="V692" s="88"/>
    </row>
    <row r="693" spans="3:22">
      <c r="D693" s="11" t="s">
        <v>573</v>
      </c>
      <c r="E693" s="8" t="s">
        <v>1405</v>
      </c>
      <c r="F693" s="397"/>
      <c r="G693" s="397"/>
      <c r="H693" s="487"/>
      <c r="I693" s="88"/>
      <c r="J693" s="88"/>
      <c r="K693" s="88"/>
      <c r="L693" s="88"/>
      <c r="M693" s="88"/>
      <c r="N693" s="88"/>
      <c r="O693" s="88"/>
      <c r="P693" s="88"/>
      <c r="Q693" s="88"/>
      <c r="R693" s="159">
        <f t="shared" ref="R693:R698" si="13">I684</f>
        <v>2</v>
      </c>
      <c r="S693" s="11" t="s">
        <v>352</v>
      </c>
      <c r="T693" s="88"/>
      <c r="U693" s="88"/>
      <c r="V693" s="88"/>
    </row>
    <row r="694" spans="3:22">
      <c r="D694" s="11" t="s">
        <v>594</v>
      </c>
      <c r="E694" s="8" t="s">
        <v>1406</v>
      </c>
      <c r="F694" s="397"/>
      <c r="G694" s="397"/>
      <c r="H694" s="487"/>
      <c r="I694" s="88"/>
      <c r="J694" s="88"/>
      <c r="K694" s="88"/>
      <c r="L694" s="88"/>
      <c r="M694" s="88"/>
      <c r="N694" s="88"/>
      <c r="O694" s="88"/>
      <c r="P694" s="88"/>
      <c r="Q694" s="88"/>
      <c r="R694" s="157">
        <f t="shared" si="13"/>
        <v>4</v>
      </c>
      <c r="S694" s="11" t="s">
        <v>352</v>
      </c>
      <c r="T694" s="88"/>
      <c r="U694" s="88"/>
      <c r="V694" s="88"/>
    </row>
    <row r="695" spans="3:22">
      <c r="D695" s="11" t="s">
        <v>595</v>
      </c>
      <c r="E695" s="8" t="s">
        <v>1407</v>
      </c>
      <c r="F695" s="397"/>
      <c r="G695" s="397"/>
      <c r="H695" s="487"/>
      <c r="I695" s="88"/>
      <c r="J695" s="88"/>
      <c r="K695" s="88"/>
      <c r="L695" s="88"/>
      <c r="M695" s="88"/>
      <c r="N695" s="88"/>
      <c r="O695" s="88"/>
      <c r="P695" s="88"/>
      <c r="Q695" s="88"/>
      <c r="R695" s="157">
        <f t="shared" si="13"/>
        <v>16</v>
      </c>
      <c r="S695" s="11" t="s">
        <v>352</v>
      </c>
      <c r="T695" s="88"/>
      <c r="U695" s="88"/>
      <c r="V695" s="88"/>
    </row>
    <row r="696" spans="3:22">
      <c r="D696" s="11" t="s">
        <v>596</v>
      </c>
      <c r="E696" s="8" t="s">
        <v>1408</v>
      </c>
      <c r="F696" s="397"/>
      <c r="G696" s="397"/>
      <c r="H696" s="487"/>
      <c r="I696" s="88"/>
      <c r="J696" s="88"/>
      <c r="K696" s="88"/>
      <c r="L696" s="88"/>
      <c r="M696" s="88"/>
      <c r="N696" s="88"/>
      <c r="O696" s="88"/>
      <c r="P696" s="88"/>
      <c r="Q696" s="88"/>
      <c r="R696" s="157">
        <f t="shared" si="13"/>
        <v>16</v>
      </c>
      <c r="S696" s="11" t="s">
        <v>352</v>
      </c>
      <c r="T696" s="88"/>
      <c r="U696" s="88"/>
      <c r="V696" s="88"/>
    </row>
    <row r="697" spans="3:22">
      <c r="D697" s="11" t="s">
        <v>597</v>
      </c>
      <c r="E697" s="8" t="s">
        <v>1409</v>
      </c>
      <c r="F697" s="397"/>
      <c r="G697" s="397"/>
      <c r="H697" s="487"/>
      <c r="I697" s="88"/>
      <c r="J697" s="88"/>
      <c r="K697" s="88"/>
      <c r="L697" s="88"/>
      <c r="M697" s="88"/>
      <c r="N697" s="88"/>
      <c r="O697" s="88"/>
      <c r="P697" s="88"/>
      <c r="Q697" s="88"/>
      <c r="R697" s="157">
        <f t="shared" si="13"/>
        <v>4</v>
      </c>
      <c r="S697" s="11" t="s">
        <v>352</v>
      </c>
      <c r="T697" s="88"/>
      <c r="U697" s="88"/>
      <c r="V697" s="88"/>
    </row>
    <row r="698" spans="3:22">
      <c r="D698" s="11" t="s">
        <v>598</v>
      </c>
      <c r="E698" s="8" t="s">
        <v>1410</v>
      </c>
      <c r="F698" s="397"/>
      <c r="G698" s="397"/>
      <c r="H698" s="487"/>
      <c r="I698" s="88"/>
      <c r="J698" s="88"/>
      <c r="K698" s="88"/>
      <c r="L698" s="88"/>
      <c r="M698" s="88"/>
      <c r="N698" s="88"/>
      <c r="O698" s="88"/>
      <c r="P698" s="88"/>
      <c r="Q698" s="88"/>
      <c r="R698" s="157">
        <f t="shared" si="13"/>
        <v>4</v>
      </c>
      <c r="S698" s="11" t="s">
        <v>352</v>
      </c>
      <c r="T698" s="88"/>
      <c r="U698" s="88"/>
      <c r="V698" s="88"/>
    </row>
    <row r="699" spans="3:22">
      <c r="D699" s="88"/>
      <c r="E699" s="88"/>
      <c r="F699" s="88"/>
      <c r="G699" s="88"/>
      <c r="H699" s="88"/>
      <c r="I699" s="88"/>
      <c r="J699" s="88"/>
      <c r="K699" s="88"/>
      <c r="L699" s="88"/>
      <c r="M699" s="88"/>
      <c r="N699" s="88"/>
      <c r="O699" s="88"/>
      <c r="P699" s="88"/>
      <c r="Q699" s="88"/>
      <c r="R699" s="154"/>
      <c r="S699" s="154"/>
      <c r="T699" s="88"/>
      <c r="U699" s="88"/>
      <c r="V699" s="88"/>
    </row>
    <row r="701" spans="3:22">
      <c r="C701" s="132" t="s">
        <v>574</v>
      </c>
      <c r="D701" s="476" t="s">
        <v>162</v>
      </c>
      <c r="E701" s="477"/>
      <c r="F701" s="477"/>
      <c r="G701" s="477"/>
      <c r="H701" s="504"/>
    </row>
    <row r="703" spans="3:22">
      <c r="D703" s="11" t="s">
        <v>575</v>
      </c>
      <c r="E703" s="8" t="s">
        <v>49</v>
      </c>
      <c r="F703" s="180"/>
      <c r="G703" s="180"/>
      <c r="H703" s="180"/>
      <c r="I703" s="180"/>
      <c r="J703" s="180"/>
      <c r="K703" s="180"/>
      <c r="L703" s="180"/>
      <c r="M703" s="180"/>
      <c r="N703" s="180"/>
      <c r="O703" s="180"/>
      <c r="P703" s="180"/>
      <c r="Q703" s="180"/>
      <c r="R703" s="158"/>
      <c r="S703" s="403"/>
    </row>
    <row r="705" spans="3:19">
      <c r="E705" s="986" t="s">
        <v>242</v>
      </c>
      <c r="F705" s="987"/>
      <c r="G705" s="987"/>
      <c r="H705" s="987"/>
      <c r="I705" s="987"/>
      <c r="J705" s="987"/>
      <c r="K705" s="987"/>
      <c r="L705" s="987"/>
      <c r="M705" s="987"/>
      <c r="N705" s="987"/>
      <c r="O705" s="987"/>
      <c r="P705" s="987"/>
      <c r="Q705" s="1004"/>
      <c r="R705" s="157">
        <f>Q579</f>
        <v>8</v>
      </c>
      <c r="S705" s="11" t="s">
        <v>17</v>
      </c>
    </row>
    <row r="706" spans="3:19">
      <c r="E706" s="395"/>
      <c r="F706" s="395"/>
      <c r="G706" s="395"/>
      <c r="H706" s="395"/>
      <c r="I706" s="395"/>
      <c r="J706" s="395"/>
      <c r="K706" s="395"/>
      <c r="L706" s="395"/>
      <c r="M706" s="395"/>
      <c r="N706" s="395"/>
      <c r="O706" s="395"/>
      <c r="P706" s="395"/>
      <c r="Q706" s="395"/>
      <c r="R706" s="158"/>
      <c r="S706" s="403"/>
    </row>
    <row r="708" spans="3:19">
      <c r="C708" s="205" t="s">
        <v>600</v>
      </c>
      <c r="D708" s="396" t="s">
        <v>358</v>
      </c>
      <c r="E708" s="123"/>
      <c r="F708" s="395"/>
      <c r="G708" s="395"/>
      <c r="H708" s="395"/>
      <c r="I708" s="395"/>
      <c r="J708" s="395"/>
      <c r="K708" s="395"/>
      <c r="L708" s="395"/>
      <c r="M708" s="395"/>
      <c r="N708" s="395"/>
      <c r="O708" s="395"/>
      <c r="P708" s="395"/>
      <c r="Q708" s="395"/>
      <c r="R708" s="158"/>
      <c r="S708" s="403"/>
    </row>
    <row r="709" spans="3:19">
      <c r="D709" s="403" t="s">
        <v>601</v>
      </c>
      <c r="E709" s="123" t="s">
        <v>1208</v>
      </c>
      <c r="F709" s="395"/>
      <c r="G709" s="395"/>
      <c r="H709" s="395"/>
      <c r="I709" s="395"/>
      <c r="J709" s="395"/>
      <c r="K709" s="395"/>
      <c r="L709" s="395"/>
      <c r="M709" s="395"/>
      <c r="N709" s="395"/>
      <c r="O709" s="395"/>
      <c r="P709" s="395"/>
      <c r="Q709" s="395"/>
      <c r="R709" s="157">
        <f>4*2</f>
        <v>8</v>
      </c>
      <c r="S709" s="11" t="s">
        <v>352</v>
      </c>
    </row>
    <row r="710" spans="3:19">
      <c r="D710" s="403" t="s">
        <v>604</v>
      </c>
      <c r="E710" s="8" t="s">
        <v>1177</v>
      </c>
      <c r="F710" s="398"/>
      <c r="G710" s="399"/>
      <c r="H710" s="399"/>
      <c r="I710" s="399"/>
      <c r="J710" s="399"/>
      <c r="K710" s="399"/>
      <c r="L710" s="399"/>
      <c r="M710" s="399"/>
      <c r="N710" s="399"/>
      <c r="O710" s="399"/>
      <c r="P710" s="399"/>
      <c r="Q710" s="399"/>
      <c r="R710" s="157">
        <f>8*2</f>
        <v>16</v>
      </c>
      <c r="S710" s="11" t="s">
        <v>352</v>
      </c>
    </row>
    <row r="711" spans="3:19">
      <c r="D711" s="403" t="s">
        <v>605</v>
      </c>
      <c r="E711" s="8" t="s">
        <v>1161</v>
      </c>
      <c r="F711" s="398"/>
      <c r="G711" s="399"/>
      <c r="H711" s="399"/>
      <c r="I711" s="399"/>
      <c r="J711" s="399"/>
      <c r="K711" s="399"/>
      <c r="L711" s="399"/>
      <c r="M711" s="399"/>
      <c r="N711" s="399"/>
      <c r="O711" s="399"/>
      <c r="P711" s="399"/>
      <c r="Q711" s="399"/>
      <c r="R711" s="157">
        <f>8*2*1</f>
        <v>16</v>
      </c>
      <c r="S711" s="11" t="s">
        <v>352</v>
      </c>
    </row>
    <row r="712" spans="3:19">
      <c r="D712" s="403" t="s">
        <v>606</v>
      </c>
      <c r="E712" s="8" t="s">
        <v>1162</v>
      </c>
      <c r="F712" s="398"/>
      <c r="G712" s="399"/>
      <c r="H712" s="399"/>
      <c r="I712" s="399"/>
      <c r="J712" s="399"/>
      <c r="K712" s="399"/>
      <c r="L712" s="399"/>
      <c r="M712" s="399"/>
      <c r="N712" s="399"/>
      <c r="O712" s="399"/>
      <c r="P712" s="399"/>
      <c r="Q712" s="399"/>
      <c r="R712" s="157">
        <f>8*2*1</f>
        <v>16</v>
      </c>
      <c r="S712" s="11" t="s">
        <v>352</v>
      </c>
    </row>
    <row r="713" spans="3:19">
      <c r="D713" s="403" t="s">
        <v>607</v>
      </c>
      <c r="E713" s="8" t="s">
        <v>1179</v>
      </c>
      <c r="F713" s="398"/>
      <c r="G713" s="399"/>
      <c r="H713" s="399"/>
      <c r="I713" s="399"/>
      <c r="J713" s="399"/>
      <c r="K713" s="399"/>
      <c r="L713" s="399"/>
      <c r="M713" s="399"/>
      <c r="N713" s="399"/>
      <c r="O713" s="399"/>
      <c r="P713" s="399"/>
      <c r="Q713" s="399"/>
      <c r="R713" s="157">
        <f>8*2*1</f>
        <v>16</v>
      </c>
      <c r="S713" s="11" t="s">
        <v>352</v>
      </c>
    </row>
    <row r="714" spans="3:19">
      <c r="D714" s="403"/>
      <c r="E714" s="86"/>
      <c r="F714" s="395"/>
      <c r="G714" s="395"/>
      <c r="H714" s="395"/>
      <c r="I714" s="395"/>
      <c r="J714" s="395"/>
      <c r="K714" s="395"/>
      <c r="L714" s="395"/>
      <c r="M714" s="395"/>
      <c r="N714" s="395"/>
      <c r="O714" s="395"/>
      <c r="P714" s="395"/>
      <c r="Q714" s="395"/>
      <c r="R714" s="158"/>
      <c r="S714" s="403"/>
    </row>
    <row r="715" spans="3:19">
      <c r="C715" s="205" t="s">
        <v>602</v>
      </c>
      <c r="D715" s="396" t="s">
        <v>1202</v>
      </c>
      <c r="E715" s="8"/>
      <c r="F715" s="398"/>
      <c r="G715" s="399"/>
      <c r="H715" s="399"/>
      <c r="I715" s="399"/>
      <c r="J715" s="399"/>
      <c r="K715" s="399"/>
      <c r="L715" s="399"/>
      <c r="M715" s="399"/>
      <c r="N715" s="399"/>
      <c r="O715" s="399"/>
      <c r="P715" s="399"/>
      <c r="Q715" s="399"/>
      <c r="R715" s="158"/>
      <c r="S715" s="403"/>
    </row>
    <row r="716" spans="3:19">
      <c r="D716" s="403" t="s">
        <v>603</v>
      </c>
      <c r="E716" s="8" t="s">
        <v>1199</v>
      </c>
      <c r="F716" s="398"/>
      <c r="G716" s="399"/>
      <c r="H716" s="399"/>
      <c r="I716" s="399"/>
      <c r="J716" s="399"/>
      <c r="K716" s="399"/>
      <c r="L716" s="399"/>
      <c r="M716" s="399"/>
      <c r="N716" s="399"/>
      <c r="O716" s="399"/>
      <c r="P716" s="399"/>
      <c r="Q716" s="399"/>
      <c r="R716" s="157">
        <f>4*1</f>
        <v>4</v>
      </c>
      <c r="S716" s="156" t="s">
        <v>352</v>
      </c>
    </row>
    <row r="717" spans="3:19">
      <c r="D717" s="403" t="s">
        <v>608</v>
      </c>
      <c r="E717" s="8" t="s">
        <v>1200</v>
      </c>
      <c r="F717" s="398"/>
      <c r="G717" s="399"/>
      <c r="H717" s="399"/>
      <c r="I717" s="399"/>
      <c r="J717" s="399"/>
      <c r="K717" s="399"/>
      <c r="L717" s="399"/>
      <c r="M717" s="399"/>
      <c r="N717" s="399"/>
      <c r="O717" s="399"/>
      <c r="P717" s="399"/>
      <c r="Q717" s="399"/>
      <c r="R717" s="157">
        <f>8*1*1</f>
        <v>8</v>
      </c>
      <c r="S717" s="156" t="s">
        <v>352</v>
      </c>
    </row>
    <row r="718" spans="3:19">
      <c r="D718" s="403" t="s">
        <v>609</v>
      </c>
      <c r="E718" s="8" t="s">
        <v>1201</v>
      </c>
      <c r="F718" s="398"/>
      <c r="G718" s="399"/>
      <c r="H718" s="399"/>
      <c r="I718" s="399"/>
      <c r="J718" s="399"/>
      <c r="K718" s="399"/>
      <c r="L718" s="399"/>
      <c r="M718" s="399"/>
      <c r="N718" s="399"/>
      <c r="O718" s="399"/>
      <c r="P718" s="399"/>
      <c r="Q718" s="399"/>
      <c r="R718" s="157">
        <f>8*1*1</f>
        <v>8</v>
      </c>
      <c r="S718" s="156" t="s">
        <v>352</v>
      </c>
    </row>
    <row r="719" spans="3:19">
      <c r="D719" s="403"/>
      <c r="E719" s="86"/>
      <c r="F719" s="395"/>
      <c r="G719" s="395"/>
      <c r="H719" s="395"/>
      <c r="I719" s="395"/>
      <c r="J719" s="395"/>
      <c r="K719" s="395"/>
      <c r="L719" s="395"/>
      <c r="M719" s="395"/>
      <c r="N719" s="395"/>
      <c r="O719" s="395"/>
      <c r="P719" s="395"/>
      <c r="Q719" s="395"/>
      <c r="R719" s="158"/>
      <c r="S719" s="403"/>
    </row>
    <row r="720" spans="3:19">
      <c r="D720" s="403"/>
      <c r="E720" s="86"/>
      <c r="F720" s="395"/>
      <c r="G720" s="395"/>
      <c r="H720" s="395"/>
      <c r="I720" s="395"/>
      <c r="J720" s="395"/>
      <c r="K720" s="395"/>
      <c r="L720" s="395"/>
      <c r="M720" s="395"/>
      <c r="N720" s="395"/>
      <c r="O720" s="395"/>
      <c r="P720" s="395"/>
      <c r="Q720" s="395"/>
      <c r="R720" s="158"/>
      <c r="S720" s="403"/>
    </row>
    <row r="721" spans="3:19">
      <c r="C721" s="177" t="s">
        <v>1357</v>
      </c>
      <c r="D721" s="403"/>
      <c r="E721" s="86"/>
      <c r="F721" s="395"/>
      <c r="G721" s="395"/>
      <c r="H721" s="395"/>
      <c r="I721" s="395"/>
      <c r="J721" s="395"/>
      <c r="K721" s="395"/>
      <c r="L721" s="395"/>
      <c r="M721" s="395"/>
      <c r="N721" s="395"/>
      <c r="O721" s="395"/>
      <c r="P721" s="395"/>
      <c r="Q721" s="395"/>
      <c r="R721" s="158"/>
      <c r="S721" s="403"/>
    </row>
    <row r="722" spans="3:19">
      <c r="C722" s="177"/>
      <c r="D722" s="403"/>
      <c r="E722" s="86"/>
      <c r="F722" s="395"/>
      <c r="G722" s="395"/>
      <c r="H722" s="395"/>
      <c r="I722" s="395"/>
      <c r="J722" s="395"/>
      <c r="K722" s="395"/>
      <c r="L722" s="395"/>
      <c r="M722" s="395"/>
      <c r="N722" s="395"/>
      <c r="O722" s="395"/>
      <c r="P722" s="395"/>
      <c r="Q722" s="395"/>
      <c r="R722" s="158"/>
      <c r="S722" s="403"/>
    </row>
    <row r="723" spans="3:19">
      <c r="C723" s="282" t="s">
        <v>801</v>
      </c>
      <c r="D723" s="264" t="s">
        <v>1214</v>
      </c>
      <c r="E723" s="86"/>
      <c r="F723" s="395"/>
      <c r="G723" s="395"/>
      <c r="H723" s="395"/>
      <c r="I723" s="395"/>
      <c r="J723" s="395"/>
      <c r="K723" s="395"/>
      <c r="L723" s="395"/>
      <c r="M723" s="395"/>
      <c r="N723" s="395"/>
      <c r="O723" s="395"/>
      <c r="P723" s="395"/>
      <c r="Q723" s="395"/>
      <c r="R723" s="158"/>
      <c r="S723" s="403"/>
    </row>
    <row r="724" spans="3:19">
      <c r="C724" s="282"/>
      <c r="D724" s="264"/>
      <c r="E724" s="86"/>
      <c r="F724" s="395"/>
      <c r="G724" s="395"/>
      <c r="H724" s="395"/>
      <c r="I724" s="395"/>
      <c r="J724" s="395"/>
      <c r="K724" s="395"/>
      <c r="L724" s="395"/>
      <c r="M724" s="395"/>
      <c r="N724" s="395"/>
      <c r="O724" s="395"/>
      <c r="P724" s="395"/>
      <c r="Q724" s="395"/>
      <c r="R724" s="158"/>
      <c r="S724" s="403"/>
    </row>
    <row r="725" spans="3:19">
      <c r="D725" s="403"/>
      <c r="E725" s="555" t="s">
        <v>827</v>
      </c>
      <c r="F725" s="265" t="s">
        <v>819</v>
      </c>
      <c r="G725" s="266">
        <v>1</v>
      </c>
      <c r="H725" s="267"/>
      <c r="I725" s="267"/>
      <c r="J725" s="267"/>
      <c r="K725" s="267"/>
      <c r="L725" s="395"/>
      <c r="M725" s="395"/>
      <c r="N725" s="395"/>
      <c r="O725" s="395"/>
      <c r="P725" s="395"/>
      <c r="Q725" s="395"/>
      <c r="R725" s="158"/>
      <c r="S725" s="403"/>
    </row>
    <row r="726" spans="3:19">
      <c r="D726" s="403"/>
      <c r="E726" s="1077" t="s">
        <v>820</v>
      </c>
      <c r="F726" s="1077"/>
      <c r="G726" s="1077"/>
      <c r="H726" s="267"/>
      <c r="I726" s="1077" t="s">
        <v>821</v>
      </c>
      <c r="J726" s="1077"/>
      <c r="K726" s="1077"/>
      <c r="L726" s="395"/>
      <c r="M726" s="395"/>
      <c r="N726" s="395"/>
      <c r="O726" s="395"/>
      <c r="P726" s="395"/>
      <c r="Q726" s="395"/>
      <c r="R726" s="158"/>
      <c r="S726" s="403"/>
    </row>
    <row r="727" spans="3:19">
      <c r="D727" s="403"/>
      <c r="E727" s="268"/>
      <c r="F727" s="269"/>
      <c r="G727" s="270"/>
      <c r="H727" s="267"/>
      <c r="I727" s="268"/>
      <c r="J727" s="269"/>
      <c r="K727" s="270"/>
      <c r="L727" s="395"/>
      <c r="M727" s="395"/>
      <c r="N727" s="395"/>
      <c r="O727" s="395"/>
      <c r="P727" s="395"/>
      <c r="Q727" s="395"/>
      <c r="R727" s="158"/>
      <c r="S727" s="403"/>
    </row>
    <row r="728" spans="3:19">
      <c r="D728" s="403"/>
      <c r="E728" s="271" t="s">
        <v>822</v>
      </c>
      <c r="F728" s="272">
        <v>2</v>
      </c>
      <c r="G728" s="541" t="s">
        <v>0</v>
      </c>
      <c r="H728" s="267"/>
      <c r="I728" s="271" t="s">
        <v>822</v>
      </c>
      <c r="J728" s="272">
        <f>F728+1+1</f>
        <v>4</v>
      </c>
      <c r="K728" s="541" t="s">
        <v>0</v>
      </c>
      <c r="L728" s="395"/>
      <c r="M728" s="395"/>
      <c r="N728" s="395"/>
      <c r="O728" s="395"/>
      <c r="P728" s="395"/>
      <c r="Q728" s="395"/>
      <c r="R728" s="158"/>
      <c r="S728" s="403"/>
    </row>
    <row r="729" spans="3:19">
      <c r="D729" s="403"/>
      <c r="E729" s="271" t="s">
        <v>823</v>
      </c>
      <c r="F729" s="272">
        <v>2</v>
      </c>
      <c r="G729" s="541" t="s">
        <v>0</v>
      </c>
      <c r="H729" s="267"/>
      <c r="I729" s="271" t="s">
        <v>823</v>
      </c>
      <c r="J729" s="272">
        <f>F729+1+1</f>
        <v>4</v>
      </c>
      <c r="K729" s="541" t="s">
        <v>0</v>
      </c>
      <c r="L729" s="395"/>
      <c r="M729" s="395"/>
      <c r="N729" s="395"/>
      <c r="O729" s="395"/>
      <c r="P729" s="395"/>
      <c r="Q729" s="395"/>
      <c r="R729" s="158"/>
      <c r="S729" s="403"/>
    </row>
    <row r="730" spans="3:19">
      <c r="D730" s="403"/>
      <c r="E730" s="271" t="s">
        <v>824</v>
      </c>
      <c r="F730" s="272">
        <v>2</v>
      </c>
      <c r="G730" s="541" t="s">
        <v>0</v>
      </c>
      <c r="H730" s="267"/>
      <c r="I730" s="271" t="s">
        <v>824</v>
      </c>
      <c r="J730" s="272">
        <v>2</v>
      </c>
      <c r="K730" s="541" t="s">
        <v>0</v>
      </c>
      <c r="L730" s="395"/>
      <c r="M730" s="395"/>
      <c r="N730" s="395"/>
      <c r="O730" s="395"/>
      <c r="P730" s="395"/>
      <c r="Q730" s="395"/>
      <c r="R730" s="158"/>
      <c r="S730" s="403"/>
    </row>
    <row r="731" spans="3:19">
      <c r="D731" s="403"/>
      <c r="E731" s="273"/>
      <c r="F731" s="274"/>
      <c r="G731" s="275"/>
      <c r="H731" s="267"/>
      <c r="I731" s="273"/>
      <c r="J731" s="274"/>
      <c r="K731" s="275"/>
      <c r="L731" s="395"/>
      <c r="M731" s="395"/>
      <c r="N731" s="395"/>
      <c r="O731" s="395"/>
      <c r="P731" s="395"/>
      <c r="Q731" s="395"/>
      <c r="R731" s="158"/>
      <c r="S731" s="403"/>
    </row>
    <row r="732" spans="3:19">
      <c r="D732" s="403"/>
      <c r="E732" s="267"/>
      <c r="F732" s="272"/>
      <c r="G732" s="540"/>
      <c r="H732" s="267"/>
      <c r="I732" s="267"/>
      <c r="J732" s="272"/>
      <c r="K732" s="540"/>
      <c r="L732" s="395"/>
      <c r="M732" s="395"/>
      <c r="N732" s="395"/>
      <c r="O732" s="395"/>
      <c r="P732" s="395"/>
      <c r="Q732" s="395"/>
      <c r="R732" s="158"/>
      <c r="S732" s="403"/>
    </row>
    <row r="733" spans="3:19" ht="33.75" customHeight="1">
      <c r="D733" s="403"/>
      <c r="E733" s="267"/>
      <c r="F733" s="272"/>
      <c r="G733" s="540"/>
      <c r="H733" s="267"/>
      <c r="I733" s="267"/>
      <c r="J733" s="561" t="s">
        <v>1218</v>
      </c>
      <c r="K733" s="562">
        <f>((J728*J729*J730)*G725)</f>
        <v>32</v>
      </c>
      <c r="L733" s="472" t="s">
        <v>18</v>
      </c>
      <c r="M733" s="395"/>
      <c r="N733" s="395"/>
      <c r="O733" s="395"/>
      <c r="P733" s="395"/>
      <c r="Q733" s="395"/>
      <c r="R733" s="158"/>
      <c r="S733" s="403"/>
    </row>
    <row r="734" spans="3:19">
      <c r="D734" s="403"/>
      <c r="E734" s="1078" t="s">
        <v>791</v>
      </c>
      <c r="F734" s="1078"/>
      <c r="G734" s="1078"/>
      <c r="H734" s="267"/>
      <c r="I734" s="1079"/>
      <c r="J734" s="1079"/>
      <c r="K734" s="267"/>
      <c r="L734" s="1070"/>
      <c r="M734" s="1070"/>
      <c r="N734" s="276"/>
      <c r="O734" s="395"/>
      <c r="P734" s="395"/>
      <c r="Q734" s="395"/>
      <c r="R734" s="158"/>
      <c r="S734" s="403"/>
    </row>
    <row r="735" spans="3:19">
      <c r="D735" s="403"/>
      <c r="E735" s="1080" t="s">
        <v>792</v>
      </c>
      <c r="F735" s="1081"/>
      <c r="G735" s="1082"/>
      <c r="H735" s="267"/>
      <c r="I735" s="277"/>
      <c r="J735" s="277"/>
      <c r="K735" s="267"/>
      <c r="L735" s="267"/>
      <c r="M735" s="267"/>
      <c r="N735" s="267"/>
      <c r="O735" s="395"/>
      <c r="P735" s="395"/>
      <c r="Q735" s="395"/>
      <c r="R735" s="158"/>
      <c r="S735" s="403"/>
    </row>
    <row r="736" spans="3:19">
      <c r="D736" s="403"/>
      <c r="E736" s="271" t="s">
        <v>280</v>
      </c>
      <c r="F736" s="277">
        <f>((J728*2+(J729*2)))</f>
        <v>16</v>
      </c>
      <c r="G736" s="278" t="s">
        <v>0</v>
      </c>
      <c r="H736" s="267"/>
      <c r="I736" s="267"/>
      <c r="J736" s="267"/>
      <c r="K736" s="279" t="s">
        <v>825</v>
      </c>
      <c r="L736" s="267"/>
      <c r="M736" s="267"/>
      <c r="N736" s="267"/>
      <c r="O736" s="395"/>
      <c r="P736" s="395"/>
      <c r="Q736" s="395"/>
      <c r="R736" s="158"/>
      <c r="S736" s="403"/>
    </row>
    <row r="737" spans="4:22">
      <c r="D737" s="403"/>
      <c r="E737" s="271"/>
      <c r="F737" s="267"/>
      <c r="G737" s="280"/>
      <c r="H737" s="267"/>
      <c r="I737" s="277"/>
      <c r="J737" s="277"/>
      <c r="K737" s="281">
        <v>2</v>
      </c>
      <c r="L737" s="282" t="s">
        <v>107</v>
      </c>
      <c r="M737" s="267"/>
      <c r="N737" s="267"/>
      <c r="O737" s="395"/>
      <c r="P737" s="395"/>
      <c r="Q737" s="395"/>
      <c r="R737" s="158"/>
      <c r="S737" s="403"/>
    </row>
    <row r="738" spans="4:22">
      <c r="D738" s="403"/>
      <c r="E738" s="556" t="s">
        <v>793</v>
      </c>
      <c r="F738" s="557">
        <f>SUM(F736:F736)</f>
        <v>16</v>
      </c>
      <c r="G738" s="558" t="s">
        <v>0</v>
      </c>
      <c r="H738" s="267"/>
      <c r="I738" s="267"/>
      <c r="J738" s="267"/>
      <c r="K738" s="267"/>
      <c r="L738" s="267"/>
      <c r="M738" s="267"/>
      <c r="N738" s="267"/>
      <c r="O738" s="395"/>
      <c r="P738" s="395"/>
      <c r="Q738" s="395"/>
      <c r="R738" s="158"/>
      <c r="S738" s="403"/>
    </row>
    <row r="739" spans="4:22">
      <c r="D739" s="403"/>
      <c r="E739" s="267"/>
      <c r="F739" s="272"/>
      <c r="G739" s="540"/>
      <c r="H739" s="267"/>
      <c r="I739" s="267"/>
      <c r="J739" s="272"/>
      <c r="K739" s="540"/>
      <c r="L739" s="395"/>
      <c r="M739" s="395"/>
      <c r="N739" s="395"/>
      <c r="O739" s="395"/>
      <c r="P739" s="395"/>
      <c r="Q739" s="395"/>
      <c r="R739" s="158"/>
      <c r="S739" s="403"/>
    </row>
    <row r="740" spans="4:22">
      <c r="D740" s="403"/>
      <c r="E740" s="267"/>
      <c r="F740" s="272"/>
      <c r="G740" s="540"/>
      <c r="H740" s="267"/>
      <c r="I740" s="267"/>
      <c r="J740" s="272"/>
      <c r="K740" s="540"/>
      <c r="L740" s="395"/>
      <c r="M740" s="395"/>
      <c r="N740" s="395"/>
      <c r="O740" s="395"/>
      <c r="P740" s="395"/>
      <c r="Q740" s="395"/>
      <c r="R740" s="158"/>
      <c r="S740" s="403"/>
    </row>
    <row r="741" spans="4:22">
      <c r="D741" s="267"/>
      <c r="E741" s="631" t="s">
        <v>1213</v>
      </c>
      <c r="F741" s="267"/>
      <c r="G741" s="267"/>
      <c r="H741" s="267"/>
      <c r="I741" s="267"/>
      <c r="J741" s="267"/>
      <c r="K741" s="281"/>
      <c r="L741" s="282"/>
      <c r="M741" s="267"/>
      <c r="N741" s="267"/>
      <c r="O741" s="395"/>
      <c r="P741" s="395"/>
      <c r="Q741" s="395"/>
      <c r="R741" s="158"/>
      <c r="S741" s="403"/>
    </row>
    <row r="742" spans="4:22">
      <c r="F742" s="264"/>
      <c r="G742" s="264"/>
      <c r="H742" s="264"/>
      <c r="I742" s="267"/>
      <c r="J742" s="283"/>
      <c r="K742" s="1090"/>
      <c r="L742" s="1090"/>
      <c r="M742" s="1090"/>
      <c r="N742" s="1090"/>
      <c r="O742" s="395"/>
      <c r="P742" s="395"/>
      <c r="Q742" s="395"/>
      <c r="R742" s="158"/>
      <c r="S742" s="403"/>
    </row>
    <row r="743" spans="4:22">
      <c r="D743" s="267"/>
      <c r="E743" s="1070"/>
      <c r="F743" s="1070"/>
      <c r="G743" s="281"/>
      <c r="H743" s="560"/>
      <c r="I743" s="284"/>
      <c r="J743" s="267"/>
      <c r="K743" s="977"/>
      <c r="L743" s="977"/>
      <c r="M743" s="276"/>
      <c r="N743" s="281"/>
      <c r="O743" s="395"/>
      <c r="P743" s="395"/>
      <c r="Q743" s="395"/>
      <c r="R743" s="158"/>
      <c r="S743" s="403"/>
    </row>
    <row r="744" spans="4:22">
      <c r="D744" s="276" t="s">
        <v>802</v>
      </c>
      <c r="E744" s="539" t="s">
        <v>178</v>
      </c>
      <c r="F744" s="539"/>
      <c r="G744" s="539"/>
      <c r="H744" s="539"/>
      <c r="I744" s="539"/>
      <c r="J744" s="539"/>
      <c r="K744" s="539"/>
      <c r="L744" s="539"/>
      <c r="M744" s="539"/>
      <c r="N744" s="539"/>
      <c r="O744" s="539"/>
      <c r="P744" s="539"/>
      <c r="Q744" s="539"/>
      <c r="R744" s="158"/>
      <c r="S744" s="403"/>
    </row>
    <row r="745" spans="4:22">
      <c r="D745" s="282"/>
      <c r="E745" s="86"/>
      <c r="F745" s="86"/>
      <c r="G745" s="86"/>
      <c r="H745" s="86"/>
      <c r="I745" s="86"/>
      <c r="J745" s="86"/>
      <c r="K745" s="86"/>
      <c r="L745" s="86"/>
      <c r="M745" s="86"/>
      <c r="N745" s="86"/>
      <c r="O745" s="86"/>
      <c r="P745" s="86"/>
      <c r="Q745" s="86"/>
      <c r="R745" s="158"/>
      <c r="S745" s="403"/>
    </row>
    <row r="746" spans="4:22">
      <c r="D746" s="282"/>
      <c r="E746" s="979" t="s">
        <v>1215</v>
      </c>
      <c r="F746" s="980"/>
      <c r="G746" s="980"/>
      <c r="H746" s="980"/>
      <c r="I746" s="980"/>
      <c r="J746" s="980"/>
      <c r="K746" s="980"/>
      <c r="L746" s="980"/>
      <c r="M746" s="980"/>
      <c r="N746" s="980"/>
      <c r="O746" s="980"/>
      <c r="P746" s="980"/>
      <c r="Q746" s="981"/>
      <c r="R746" s="157">
        <f>(10*2)</f>
        <v>20</v>
      </c>
      <c r="S746" s="156" t="s">
        <v>179</v>
      </c>
    </row>
    <row r="747" spans="4:22">
      <c r="D747" s="282"/>
      <c r="E747" s="400"/>
      <c r="F747" s="537"/>
      <c r="G747" s="537"/>
      <c r="H747" s="537"/>
      <c r="I747" s="537"/>
      <c r="J747" s="537"/>
      <c r="K747" s="537"/>
      <c r="L747" s="537"/>
      <c r="M747" s="537"/>
      <c r="N747" s="537"/>
      <c r="O747" s="537"/>
      <c r="P747" s="537"/>
      <c r="Q747" s="537"/>
      <c r="R747" s="158"/>
      <c r="S747" s="403"/>
    </row>
    <row r="748" spans="4:22">
      <c r="D748" s="282"/>
      <c r="E748" s="8"/>
      <c r="F748" s="559"/>
      <c r="G748" s="281"/>
      <c r="H748" s="560"/>
      <c r="I748" s="284"/>
      <c r="J748" s="267"/>
      <c r="K748" s="276"/>
      <c r="L748" s="276"/>
      <c r="M748" s="276"/>
      <c r="N748" s="281"/>
      <c r="O748" s="395"/>
      <c r="P748" s="395"/>
      <c r="Q748" s="395"/>
      <c r="R748" s="158"/>
      <c r="S748" s="403"/>
    </row>
    <row r="749" spans="4:22">
      <c r="D749" s="276" t="s">
        <v>803</v>
      </c>
      <c r="E749" s="8" t="s">
        <v>795</v>
      </c>
      <c r="F749" s="559"/>
      <c r="G749" s="281"/>
      <c r="H749" s="560"/>
      <c r="I749" s="284"/>
      <c r="J749" s="267"/>
      <c r="K749" s="276"/>
      <c r="L749" s="276"/>
      <c r="M749" s="276"/>
      <c r="N749" s="281"/>
      <c r="O749" s="395"/>
      <c r="P749" s="395"/>
      <c r="Q749" s="395"/>
      <c r="R749" s="158"/>
      <c r="S749" s="403"/>
    </row>
    <row r="750" spans="4:22">
      <c r="D750" s="282"/>
      <c r="E750" s="8"/>
      <c r="F750" s="554"/>
      <c r="G750" s="281"/>
      <c r="H750" s="560"/>
      <c r="I750" s="284"/>
      <c r="J750" s="267"/>
      <c r="K750" s="977"/>
      <c r="L750" s="977"/>
      <c r="M750" s="276"/>
      <c r="N750" s="281"/>
      <c r="O750" s="395"/>
      <c r="P750" s="395"/>
      <c r="Q750" s="395"/>
      <c r="R750" s="158"/>
      <c r="S750" s="403"/>
      <c r="U750" s="472" t="s">
        <v>1216</v>
      </c>
    </row>
    <row r="751" spans="4:22">
      <c r="D751" s="282"/>
      <c r="E751" s="974" t="s">
        <v>1196</v>
      </c>
      <c r="F751" s="975"/>
      <c r="G751" s="975"/>
      <c r="H751" s="975"/>
      <c r="I751" s="975"/>
      <c r="J751" s="975"/>
      <c r="K751" s="975"/>
      <c r="L751" s="975"/>
      <c r="M751" s="975"/>
      <c r="N751" s="975"/>
      <c r="O751" s="975"/>
      <c r="P751" s="975"/>
      <c r="Q751" s="976"/>
      <c r="R751" s="157">
        <f>(J728*J729)*U751</f>
        <v>1.6</v>
      </c>
      <c r="S751" s="156" t="s">
        <v>18</v>
      </c>
      <c r="U751" s="236">
        <v>0.1</v>
      </c>
      <c r="V751" s="534" t="s">
        <v>0</v>
      </c>
    </row>
    <row r="752" spans="4:22">
      <c r="D752" s="282"/>
      <c r="E752" s="8"/>
      <c r="F752" s="559"/>
      <c r="G752" s="281"/>
      <c r="H752" s="560"/>
      <c r="I752" s="284"/>
      <c r="J752" s="267"/>
      <c r="K752" s="267"/>
      <c r="L752" s="267"/>
      <c r="M752" s="267"/>
      <c r="N752" s="267"/>
      <c r="O752" s="395"/>
      <c r="P752" s="395"/>
      <c r="Q752" s="395"/>
      <c r="R752" s="158"/>
      <c r="S752" s="403"/>
    </row>
    <row r="753" spans="4:22">
      <c r="D753" s="267"/>
      <c r="E753" s="1070"/>
      <c r="F753" s="1070"/>
      <c r="G753" s="281"/>
      <c r="H753" s="560"/>
      <c r="I753" s="284"/>
      <c r="J753" s="977"/>
      <c r="K753" s="276"/>
      <c r="L753" s="276"/>
      <c r="M753" s="267"/>
      <c r="N753" s="267"/>
      <c r="O753" s="395"/>
      <c r="P753" s="395"/>
      <c r="Q753" s="395"/>
      <c r="R753" s="158"/>
      <c r="S753" s="403"/>
    </row>
    <row r="754" spans="4:22">
      <c r="D754" s="276" t="s">
        <v>804</v>
      </c>
      <c r="E754" s="86" t="s">
        <v>796</v>
      </c>
      <c r="F754" s="554"/>
      <c r="G754" s="281"/>
      <c r="H754" s="560"/>
      <c r="I754" s="284"/>
      <c r="J754" s="977"/>
      <c r="K754" s="276"/>
      <c r="L754" s="276"/>
      <c r="M754" s="267"/>
      <c r="N754" s="267"/>
      <c r="O754" s="395"/>
      <c r="P754" s="395"/>
      <c r="Q754" s="395"/>
      <c r="R754" s="158"/>
      <c r="S754" s="403"/>
    </row>
    <row r="755" spans="4:22">
      <c r="D755" s="267"/>
      <c r="E755" s="554"/>
      <c r="F755" s="554"/>
      <c r="G755" s="281"/>
      <c r="H755" s="560"/>
      <c r="I755" s="284"/>
      <c r="J755" s="276"/>
      <c r="K755" s="276"/>
      <c r="L755" s="276"/>
      <c r="M755" s="267"/>
      <c r="N755" s="267"/>
      <c r="O755" s="395"/>
      <c r="P755" s="395"/>
      <c r="Q755" s="395"/>
      <c r="R755" s="158"/>
      <c r="S755" s="403"/>
    </row>
    <row r="756" spans="4:22">
      <c r="D756" s="267"/>
      <c r="E756" s="554"/>
      <c r="F756" s="86" t="s">
        <v>198</v>
      </c>
      <c r="G756" s="86"/>
      <c r="H756" s="86"/>
      <c r="I756" s="86"/>
      <c r="J756" s="86"/>
      <c r="K756" s="86"/>
      <c r="L756" s="86" t="s">
        <v>192</v>
      </c>
      <c r="M756" s="171">
        <v>0</v>
      </c>
      <c r="N756" s="172" t="s">
        <v>193</v>
      </c>
      <c r="O756" s="395"/>
      <c r="P756" s="395"/>
      <c r="Q756" s="395"/>
      <c r="R756" s="158"/>
      <c r="S756" s="403"/>
    </row>
    <row r="757" spans="4:22">
      <c r="D757" s="267"/>
      <c r="E757" s="554"/>
      <c r="F757" s="86"/>
      <c r="G757" s="86"/>
      <c r="H757" s="86"/>
      <c r="I757" s="86"/>
      <c r="J757" s="86"/>
      <c r="K757" s="86"/>
      <c r="L757" s="86"/>
      <c r="M757" s="86"/>
      <c r="N757" s="86"/>
      <c r="O757" s="395"/>
      <c r="P757" s="395"/>
      <c r="Q757" s="395"/>
      <c r="R757" s="158"/>
      <c r="S757" s="403"/>
    </row>
    <row r="758" spans="4:22">
      <c r="D758" s="267"/>
      <c r="E758" s="554"/>
      <c r="F758" s="86" t="s">
        <v>199</v>
      </c>
      <c r="G758" s="86"/>
      <c r="H758" s="86"/>
      <c r="I758" s="86"/>
      <c r="J758" s="86"/>
      <c r="K758" s="86"/>
      <c r="L758" s="86" t="s">
        <v>192</v>
      </c>
      <c r="M758" s="536">
        <v>1.5</v>
      </c>
      <c r="N758" s="172" t="s">
        <v>0</v>
      </c>
      <c r="O758" s="395"/>
      <c r="P758" s="395"/>
      <c r="Q758" s="395"/>
      <c r="R758" s="158"/>
      <c r="S758" s="403"/>
    </row>
    <row r="759" spans="4:22">
      <c r="D759" s="267"/>
      <c r="E759" s="554"/>
      <c r="F759" s="554"/>
      <c r="G759" s="281"/>
      <c r="H759" s="560"/>
      <c r="I759" s="284"/>
      <c r="J759" s="276"/>
      <c r="K759" s="276"/>
      <c r="L759" s="276"/>
      <c r="M759" s="267"/>
      <c r="N759" s="267"/>
      <c r="O759" s="395"/>
      <c r="P759" s="395"/>
      <c r="Q759" s="395"/>
      <c r="R759" s="158"/>
      <c r="S759" s="403"/>
    </row>
    <row r="760" spans="4:22">
      <c r="D760" s="267"/>
      <c r="E760" s="86" t="s">
        <v>1217</v>
      </c>
      <c r="F760" s="86"/>
      <c r="G760" s="86"/>
      <c r="H760" s="86"/>
      <c r="I760" s="86"/>
      <c r="J760" s="86"/>
      <c r="K760" s="86"/>
      <c r="L760" s="86"/>
      <c r="M760" s="86"/>
      <c r="N760" s="86"/>
      <c r="O760" s="86"/>
      <c r="P760" s="86"/>
      <c r="Q760" s="86"/>
      <c r="R760" s="159">
        <f>(J728*2+J729*2)*G725</f>
        <v>16</v>
      </c>
      <c r="S760" s="156" t="s">
        <v>17</v>
      </c>
    </row>
    <row r="761" spans="4:22">
      <c r="D761" s="267"/>
      <c r="E761" s="86"/>
      <c r="F761" s="86"/>
      <c r="G761" s="86"/>
      <c r="H761" s="86"/>
      <c r="I761" s="86"/>
      <c r="J761" s="86"/>
      <c r="K761" s="86"/>
      <c r="L761" s="86"/>
      <c r="M761" s="86"/>
      <c r="N761" s="86"/>
      <c r="O761" s="86"/>
      <c r="P761" s="86"/>
      <c r="Q761" s="86"/>
      <c r="R761" s="203"/>
      <c r="S761" s="403"/>
    </row>
    <row r="762" spans="4:22">
      <c r="D762" s="267"/>
      <c r="E762" s="86"/>
      <c r="F762" s="86"/>
      <c r="G762" s="86"/>
      <c r="H762" s="86"/>
      <c r="I762" s="86"/>
      <c r="J762" s="86"/>
      <c r="K762" s="86"/>
      <c r="L762" s="86"/>
      <c r="M762" s="86"/>
      <c r="N762" s="86"/>
      <c r="O762" s="86"/>
      <c r="P762" s="86"/>
      <c r="Q762" s="86"/>
      <c r="R762" s="203"/>
      <c r="S762" s="403"/>
    </row>
    <row r="763" spans="4:22">
      <c r="D763" s="276" t="s">
        <v>805</v>
      </c>
      <c r="E763" s="86" t="s">
        <v>1399</v>
      </c>
      <c r="F763" s="86"/>
      <c r="G763" s="86"/>
      <c r="H763" s="86"/>
      <c r="I763" s="86"/>
      <c r="J763" s="86"/>
      <c r="K763" s="86"/>
      <c r="L763" s="86"/>
      <c r="M763" s="86"/>
      <c r="N763" s="86"/>
      <c r="O763" s="86"/>
      <c r="P763" s="86"/>
      <c r="Q763" s="86"/>
      <c r="R763" s="203"/>
      <c r="S763" s="403"/>
    </row>
    <row r="764" spans="4:22">
      <c r="D764" s="267"/>
      <c r="E764" s="86"/>
      <c r="F764" s="86"/>
      <c r="G764" s="86"/>
      <c r="H764" s="86"/>
      <c r="I764" s="86"/>
      <c r="J764" s="86"/>
      <c r="K764" s="86"/>
      <c r="L764" s="86"/>
      <c r="M764" s="86"/>
      <c r="N764" s="86"/>
      <c r="O764" s="86"/>
      <c r="P764" s="86"/>
      <c r="Q764" s="86"/>
      <c r="R764" s="203"/>
      <c r="S764" s="403"/>
      <c r="U764" s="472"/>
    </row>
    <row r="765" spans="4:22">
      <c r="D765" s="267"/>
      <c r="E765" s="974" t="s">
        <v>1219</v>
      </c>
      <c r="F765" s="975"/>
      <c r="G765" s="975"/>
      <c r="H765" s="975"/>
      <c r="I765" s="975"/>
      <c r="J765" s="975"/>
      <c r="K765" s="975"/>
      <c r="L765" s="975"/>
      <c r="M765" s="975"/>
      <c r="N765" s="975"/>
      <c r="O765" s="975"/>
      <c r="P765" s="975"/>
      <c r="Q765" s="976"/>
      <c r="R765" s="157">
        <f>K733-((((F728*F729)*J730))*G725)</f>
        <v>24</v>
      </c>
      <c r="S765" s="156" t="s">
        <v>18</v>
      </c>
      <c r="U765" s="236"/>
      <c r="V765" s="534"/>
    </row>
    <row r="766" spans="4:22">
      <c r="D766" s="267"/>
      <c r="E766" s="123"/>
      <c r="F766" s="123"/>
      <c r="G766" s="123"/>
      <c r="H766" s="123"/>
      <c r="I766" s="123"/>
      <c r="J766" s="123"/>
      <c r="K766" s="123"/>
      <c r="L766" s="123"/>
      <c r="M766" s="123"/>
      <c r="N766" s="123"/>
      <c r="O766" s="123"/>
      <c r="P766" s="123"/>
      <c r="Q766" s="123"/>
      <c r="R766" s="158"/>
      <c r="S766" s="403"/>
      <c r="U766" s="236"/>
      <c r="V766" s="534"/>
    </row>
    <row r="767" spans="4:22">
      <c r="D767" s="267"/>
      <c r="E767" s="86"/>
      <c r="F767" s="86"/>
      <c r="G767" s="86"/>
      <c r="H767" s="86"/>
      <c r="I767" s="86"/>
      <c r="J767" s="86"/>
      <c r="K767" s="86"/>
      <c r="L767" s="86"/>
      <c r="M767" s="86"/>
      <c r="N767" s="86"/>
      <c r="O767" s="86"/>
      <c r="P767" s="86"/>
      <c r="Q767" s="86"/>
      <c r="R767" s="203"/>
      <c r="S767" s="403"/>
    </row>
    <row r="768" spans="4:22">
      <c r="D768" s="276" t="s">
        <v>806</v>
      </c>
      <c r="E768" s="173" t="s">
        <v>23</v>
      </c>
      <c r="F768" s="86"/>
      <c r="G768" s="86"/>
      <c r="H768" s="86"/>
      <c r="I768" s="86"/>
      <c r="J768" s="86"/>
      <c r="K768" s="86"/>
      <c r="L768" s="86"/>
      <c r="M768" s="86"/>
      <c r="N768" s="86"/>
      <c r="O768" s="86"/>
      <c r="P768" s="86"/>
      <c r="Q768" s="86"/>
      <c r="R768" s="158"/>
      <c r="S768" s="403"/>
    </row>
    <row r="769" spans="3:19">
      <c r="D769" s="267"/>
      <c r="E769" s="86"/>
      <c r="F769" s="86"/>
      <c r="G769" s="86"/>
      <c r="H769" s="86"/>
      <c r="I769" s="86"/>
      <c r="J769" s="86"/>
      <c r="K769" s="86"/>
      <c r="L769" s="86"/>
      <c r="M769" s="86"/>
      <c r="N769" s="86"/>
      <c r="O769" s="86"/>
      <c r="P769" s="86"/>
      <c r="Q769" s="86"/>
      <c r="R769" s="158"/>
      <c r="S769" s="403"/>
    </row>
    <row r="770" spans="3:19">
      <c r="D770" s="267"/>
      <c r="E770" s="986" t="s">
        <v>1341</v>
      </c>
      <c r="F770" s="987"/>
      <c r="G770" s="987"/>
      <c r="H770" s="987"/>
      <c r="I770" s="987"/>
      <c r="J770" s="987"/>
      <c r="K770" s="987"/>
      <c r="L770" s="987"/>
      <c r="M770" s="987"/>
      <c r="N770" s="987"/>
      <c r="O770" s="987"/>
      <c r="P770" s="987"/>
      <c r="Q770" s="988"/>
      <c r="R770" s="157">
        <f>(F728*F729*F730)*G725</f>
        <v>8</v>
      </c>
      <c r="S770" s="156" t="s">
        <v>18</v>
      </c>
    </row>
    <row r="771" spans="3:19">
      <c r="D771" s="267"/>
      <c r="E771" s="395"/>
      <c r="F771" s="395"/>
      <c r="G771" s="395"/>
      <c r="H771" s="395"/>
      <c r="I771" s="395"/>
      <c r="J771" s="395"/>
      <c r="K771" s="395"/>
      <c r="L771" s="395"/>
      <c r="M771" s="395"/>
      <c r="N771" s="395"/>
      <c r="O771" s="395"/>
      <c r="P771" s="395"/>
      <c r="Q771" s="395"/>
      <c r="R771" s="158"/>
      <c r="S771" s="403"/>
    </row>
    <row r="772" spans="3:19">
      <c r="D772" s="267"/>
      <c r="E772" s="395"/>
      <c r="F772" s="395"/>
      <c r="G772" s="395"/>
      <c r="H772" s="395"/>
      <c r="I772" s="395"/>
      <c r="J772" s="395"/>
      <c r="K772" s="395"/>
      <c r="L772" s="395"/>
      <c r="M772" s="395"/>
      <c r="N772" s="395"/>
      <c r="O772" s="395"/>
      <c r="P772" s="395"/>
      <c r="Q772" s="395"/>
      <c r="R772" s="158"/>
      <c r="S772" s="403"/>
    </row>
    <row r="773" spans="3:19">
      <c r="D773" s="267"/>
      <c r="E773" s="395"/>
      <c r="F773" s="395"/>
      <c r="G773" s="395"/>
      <c r="H773" s="395"/>
      <c r="I773" s="395"/>
      <c r="J773" s="395"/>
      <c r="K773" s="395"/>
      <c r="L773" s="395"/>
      <c r="M773" s="395"/>
      <c r="N773" s="395"/>
      <c r="O773" s="395"/>
      <c r="P773" s="395"/>
      <c r="Q773" s="395"/>
      <c r="R773" s="158"/>
      <c r="S773" s="403"/>
    </row>
    <row r="774" spans="3:19">
      <c r="C774" s="205" t="s">
        <v>809</v>
      </c>
      <c r="D774" s="396" t="s">
        <v>1220</v>
      </c>
      <c r="E774" s="123"/>
      <c r="F774" s="395"/>
      <c r="G774" s="395"/>
      <c r="H774" s="395"/>
      <c r="I774" s="395"/>
      <c r="J774" s="395"/>
      <c r="K774" s="395"/>
      <c r="L774" s="395"/>
      <c r="M774" s="395"/>
      <c r="N774" s="395"/>
      <c r="O774" s="395"/>
      <c r="P774" s="395"/>
      <c r="Q774" s="395"/>
      <c r="R774" s="158"/>
      <c r="S774" s="403"/>
    </row>
    <row r="775" spans="3:19">
      <c r="C775" s="205"/>
      <c r="D775" s="174"/>
      <c r="E775" s="123"/>
      <c r="F775" s="395"/>
      <c r="G775" s="395"/>
      <c r="H775" s="395"/>
      <c r="I775" s="395"/>
      <c r="J775" s="395"/>
      <c r="K775" s="395"/>
      <c r="L775" s="395"/>
      <c r="M775" s="395"/>
      <c r="N775" s="395"/>
      <c r="O775" s="395"/>
      <c r="P775" s="395"/>
      <c r="Q775" s="395"/>
      <c r="R775" s="158"/>
      <c r="S775" s="403"/>
    </row>
    <row r="776" spans="3:19">
      <c r="C776" s="205"/>
      <c r="D776" s="1020" t="s">
        <v>102</v>
      </c>
      <c r="E776" s="1020"/>
      <c r="F776" s="1020"/>
      <c r="G776" s="1020"/>
      <c r="H776" s="1020"/>
      <c r="I776" s="1020"/>
      <c r="J776" s="1020"/>
      <c r="K776" s="1020"/>
      <c r="L776" s="1020"/>
      <c r="M776" s="1020"/>
      <c r="N776" s="395"/>
      <c r="O776" s="395"/>
      <c r="P776" s="395"/>
      <c r="Q776" s="395"/>
      <c r="R776" s="158"/>
      <c r="S776" s="403"/>
    </row>
    <row r="777" spans="3:19">
      <c r="C777" s="205"/>
      <c r="D777" s="1003" t="s">
        <v>103</v>
      </c>
      <c r="E777" s="1003"/>
      <c r="F777" s="1003"/>
      <c r="G777" s="1003"/>
      <c r="H777" s="1003"/>
      <c r="I777" s="1003" t="s">
        <v>1</v>
      </c>
      <c r="J777" s="1003"/>
      <c r="K777" s="1003"/>
      <c r="L777" s="1003"/>
      <c r="M777" s="1003"/>
      <c r="N777" s="395"/>
      <c r="O777" s="395"/>
      <c r="P777" s="395"/>
      <c r="Q777" s="395"/>
      <c r="R777" s="158"/>
      <c r="S777" s="403"/>
    </row>
    <row r="778" spans="3:19">
      <c r="C778" s="205"/>
      <c r="D778" s="1006"/>
      <c r="E778" s="1006"/>
      <c r="F778" s="1006"/>
      <c r="G778" s="1006"/>
      <c r="H778" s="1006"/>
      <c r="I778" s="1006"/>
      <c r="J778" s="1006"/>
      <c r="K778" s="1006"/>
      <c r="L778" s="1006"/>
      <c r="M778" s="1006"/>
      <c r="N778" s="395"/>
      <c r="O778" s="395"/>
      <c r="P778" s="395"/>
      <c r="Q778" s="395"/>
      <c r="R778" s="158"/>
      <c r="S778" s="403"/>
    </row>
    <row r="779" spans="3:19">
      <c r="C779" s="205"/>
      <c r="D779" s="544">
        <v>4</v>
      </c>
      <c r="E779" s="542" t="s">
        <v>108</v>
      </c>
      <c r="F779" s="993" t="s">
        <v>109</v>
      </c>
      <c r="G779" s="993"/>
      <c r="H779" s="993"/>
      <c r="I779" s="544">
        <f>$I$579*D779</f>
        <v>8</v>
      </c>
      <c r="J779" s="542" t="s">
        <v>108</v>
      </c>
      <c r="K779" s="993" t="s">
        <v>109</v>
      </c>
      <c r="L779" s="993"/>
      <c r="M779" s="993"/>
      <c r="N779" s="395"/>
      <c r="O779" s="395"/>
      <c r="P779" s="395"/>
      <c r="Q779" s="395"/>
      <c r="R779" s="158"/>
      <c r="S779" s="403"/>
    </row>
    <row r="780" spans="3:19">
      <c r="C780" s="205"/>
      <c r="D780" s="544">
        <v>8</v>
      </c>
      <c r="E780" s="542" t="s">
        <v>108</v>
      </c>
      <c r="F780" s="993" t="s">
        <v>110</v>
      </c>
      <c r="G780" s="993"/>
      <c r="H780" s="993"/>
      <c r="I780" s="544">
        <f t="shared" ref="I780:I782" si="14">$I$579*D780</f>
        <v>16</v>
      </c>
      <c r="J780" s="542" t="s">
        <v>108</v>
      </c>
      <c r="K780" s="993" t="s">
        <v>110</v>
      </c>
      <c r="L780" s="993"/>
      <c r="M780" s="993"/>
      <c r="N780" s="395"/>
      <c r="O780" s="395"/>
      <c r="P780" s="395"/>
      <c r="Q780" s="395"/>
      <c r="R780" s="158"/>
      <c r="S780" s="403"/>
    </row>
    <row r="781" spans="3:19">
      <c r="C781" s="205"/>
      <c r="D781" s="544">
        <v>8</v>
      </c>
      <c r="E781" s="542" t="s">
        <v>108</v>
      </c>
      <c r="F781" s="993" t="s">
        <v>113</v>
      </c>
      <c r="G781" s="993"/>
      <c r="H781" s="993"/>
      <c r="I781" s="544">
        <f t="shared" si="14"/>
        <v>16</v>
      </c>
      <c r="J781" s="542" t="s">
        <v>108</v>
      </c>
      <c r="K781" s="993" t="s">
        <v>113</v>
      </c>
      <c r="L781" s="993"/>
      <c r="M781" s="993"/>
      <c r="N781" s="395"/>
      <c r="O781" s="395"/>
      <c r="P781" s="395"/>
      <c r="Q781" s="395"/>
      <c r="R781" s="158"/>
      <c r="S781" s="403"/>
    </row>
    <row r="782" spans="3:19">
      <c r="C782" s="205"/>
      <c r="D782" s="544">
        <v>8</v>
      </c>
      <c r="E782" s="542" t="s">
        <v>108</v>
      </c>
      <c r="F782" s="993" t="s">
        <v>1221</v>
      </c>
      <c r="G782" s="993"/>
      <c r="H782" s="993"/>
      <c r="I782" s="544">
        <f t="shared" si="14"/>
        <v>16</v>
      </c>
      <c r="J782" s="542" t="s">
        <v>108</v>
      </c>
      <c r="K782" s="993" t="s">
        <v>1221</v>
      </c>
      <c r="L782" s="993"/>
      <c r="M782" s="993"/>
      <c r="N782" s="395"/>
      <c r="O782" s="395"/>
      <c r="P782" s="395"/>
      <c r="Q782" s="395"/>
      <c r="R782" s="158"/>
      <c r="S782" s="403"/>
    </row>
    <row r="783" spans="3:19">
      <c r="C783" s="205"/>
      <c r="D783" s="174"/>
      <c r="E783" s="123"/>
      <c r="F783" s="395"/>
      <c r="G783" s="395"/>
      <c r="H783" s="395"/>
      <c r="I783" s="395"/>
      <c r="J783" s="395"/>
      <c r="K783" s="395"/>
      <c r="L783" s="395"/>
      <c r="M783" s="395"/>
      <c r="N783" s="395"/>
      <c r="O783" s="395"/>
      <c r="P783" s="395"/>
      <c r="Q783" s="395"/>
      <c r="R783" s="158"/>
      <c r="S783" s="403"/>
    </row>
    <row r="784" spans="3:19">
      <c r="C784" s="205"/>
      <c r="D784" s="174"/>
      <c r="E784" s="123"/>
      <c r="F784" s="395"/>
      <c r="G784" s="395"/>
      <c r="H784" s="395"/>
      <c r="I784" s="395"/>
      <c r="J784" s="395"/>
      <c r="K784" s="395"/>
      <c r="L784" s="395"/>
      <c r="M784" s="395"/>
      <c r="N784" s="395"/>
      <c r="O784" s="395"/>
      <c r="P784" s="395"/>
      <c r="Q784" s="395"/>
      <c r="R784" s="158"/>
      <c r="S784" s="403"/>
    </row>
    <row r="785" spans="3:19">
      <c r="D785" s="403" t="s">
        <v>810</v>
      </c>
      <c r="E785" s="123" t="s">
        <v>1208</v>
      </c>
      <c r="F785" s="395"/>
      <c r="G785" s="395"/>
      <c r="H785" s="395"/>
      <c r="I785" s="395"/>
      <c r="J785" s="395"/>
      <c r="K785" s="395"/>
      <c r="L785" s="395"/>
      <c r="M785" s="395"/>
      <c r="N785" s="395"/>
      <c r="O785" s="395"/>
      <c r="P785" s="395"/>
      <c r="Q785" s="395"/>
      <c r="R785" s="157">
        <f>I779</f>
        <v>8</v>
      </c>
      <c r="S785" s="11" t="s">
        <v>352</v>
      </c>
    </row>
    <row r="786" spans="3:19">
      <c r="D786" s="403" t="s">
        <v>811</v>
      </c>
      <c r="E786" s="8" t="s">
        <v>1177</v>
      </c>
      <c r="F786" s="398"/>
      <c r="G786" s="399"/>
      <c r="H786" s="399"/>
      <c r="I786" s="399"/>
      <c r="J786" s="399"/>
      <c r="K786" s="399"/>
      <c r="L786" s="399"/>
      <c r="M786" s="399"/>
      <c r="N786" s="399"/>
      <c r="O786" s="399"/>
      <c r="P786" s="399"/>
      <c r="Q786" s="399"/>
      <c r="R786" s="157">
        <f t="shared" ref="R786:R788" si="15">I780</f>
        <v>16</v>
      </c>
      <c r="S786" s="11" t="s">
        <v>352</v>
      </c>
    </row>
    <row r="787" spans="3:19">
      <c r="D787" s="403" t="s">
        <v>812</v>
      </c>
      <c r="E787" s="8" t="s">
        <v>1161</v>
      </c>
      <c r="F787" s="398"/>
      <c r="G787" s="399"/>
      <c r="H787" s="399"/>
      <c r="I787" s="399"/>
      <c r="J787" s="399"/>
      <c r="K787" s="399"/>
      <c r="L787" s="399"/>
      <c r="M787" s="399"/>
      <c r="N787" s="399"/>
      <c r="O787" s="399"/>
      <c r="P787" s="399"/>
      <c r="Q787" s="399"/>
      <c r="R787" s="157">
        <f t="shared" si="15"/>
        <v>16</v>
      </c>
      <c r="S787" s="11" t="s">
        <v>352</v>
      </c>
    </row>
    <row r="788" spans="3:19">
      <c r="D788" s="403" t="s">
        <v>914</v>
      </c>
      <c r="E788" s="8" t="s">
        <v>1162</v>
      </c>
      <c r="F788" s="398"/>
      <c r="G788" s="399"/>
      <c r="H788" s="399"/>
      <c r="I788" s="399"/>
      <c r="J788" s="399"/>
      <c r="K788" s="399"/>
      <c r="L788" s="399"/>
      <c r="M788" s="399"/>
      <c r="N788" s="399"/>
      <c r="O788" s="399"/>
      <c r="P788" s="399"/>
      <c r="Q788" s="399"/>
      <c r="R788" s="157">
        <f t="shared" si="15"/>
        <v>16</v>
      </c>
      <c r="S788" s="11" t="s">
        <v>352</v>
      </c>
    </row>
    <row r="789" spans="3:19">
      <c r="D789" s="403"/>
      <c r="E789" s="86"/>
      <c r="F789" s="395"/>
      <c r="G789" s="395"/>
      <c r="H789" s="395"/>
      <c r="I789" s="395"/>
      <c r="J789" s="395"/>
      <c r="K789" s="395"/>
      <c r="L789" s="395"/>
      <c r="M789" s="395"/>
      <c r="N789" s="395"/>
      <c r="O789" s="395"/>
      <c r="P789" s="395"/>
      <c r="Q789" s="395"/>
      <c r="R789" s="158"/>
      <c r="S789" s="403"/>
    </row>
    <row r="790" spans="3:19">
      <c r="D790" s="403"/>
      <c r="E790" s="86"/>
      <c r="F790" s="395"/>
      <c r="G790" s="395"/>
      <c r="H790" s="395"/>
      <c r="I790" s="395"/>
      <c r="J790" s="395"/>
      <c r="K790" s="395"/>
      <c r="L790" s="395"/>
      <c r="M790" s="395"/>
      <c r="N790" s="395"/>
      <c r="O790" s="395"/>
      <c r="P790" s="395"/>
      <c r="Q790" s="395"/>
      <c r="R790" s="158"/>
      <c r="S790" s="403"/>
    </row>
    <row r="791" spans="3:19">
      <c r="C791" s="205" t="s">
        <v>817</v>
      </c>
      <c r="D791" s="396" t="s">
        <v>1145</v>
      </c>
      <c r="E791" s="86"/>
      <c r="F791" s="395"/>
      <c r="G791" s="395"/>
      <c r="H791" s="395"/>
      <c r="I791" s="395"/>
      <c r="J791" s="395"/>
      <c r="K791" s="395"/>
      <c r="L791" s="395"/>
      <c r="M791" s="395"/>
      <c r="N791" s="395"/>
      <c r="O791" s="395"/>
      <c r="P791" s="395"/>
      <c r="Q791" s="395"/>
      <c r="R791" s="158"/>
      <c r="S791" s="403"/>
    </row>
    <row r="792" spans="3:19">
      <c r="D792" s="403"/>
      <c r="E792" s="86"/>
      <c r="F792" s="395"/>
      <c r="G792" s="395"/>
      <c r="H792" s="395"/>
      <c r="I792" s="395"/>
      <c r="J792" s="395"/>
      <c r="K792" s="395"/>
      <c r="L792" s="395"/>
      <c r="M792" s="395"/>
      <c r="N792" s="395"/>
      <c r="O792" s="395"/>
      <c r="P792" s="395"/>
      <c r="Q792" s="395"/>
      <c r="R792" s="158"/>
      <c r="S792" s="403"/>
    </row>
    <row r="793" spans="3:19" ht="25.5" customHeight="1">
      <c r="D793" s="576" t="s">
        <v>818</v>
      </c>
      <c r="E793" s="1073" t="s">
        <v>919</v>
      </c>
      <c r="F793" s="1073"/>
      <c r="G793" s="577">
        <f>ROUND(F811,0)*K796</f>
        <v>75</v>
      </c>
      <c r="H793" s="576" t="s">
        <v>987</v>
      </c>
      <c r="I793" s="573"/>
      <c r="J793" s="1087" t="s">
        <v>836</v>
      </c>
      <c r="K793" s="1088"/>
      <c r="L793" s="1089"/>
      <c r="M793" s="563"/>
      <c r="Q793" s="395"/>
      <c r="R793" s="158"/>
      <c r="S793" s="403"/>
    </row>
    <row r="794" spans="3:19" ht="30.75" customHeight="1">
      <c r="D794" s="576" t="s">
        <v>949</v>
      </c>
      <c r="E794" s="1073" t="s">
        <v>920</v>
      </c>
      <c r="F794" s="1073"/>
      <c r="G794" s="577">
        <f>ROUND(F810,0)*K796</f>
        <v>181</v>
      </c>
      <c r="H794" s="576" t="s">
        <v>987</v>
      </c>
      <c r="I794" s="573"/>
      <c r="J794" s="567"/>
      <c r="K794" s="568">
        <v>5</v>
      </c>
      <c r="L794" s="575" t="s">
        <v>107</v>
      </c>
      <c r="M794" s="563"/>
      <c r="Q794" s="395"/>
      <c r="R794" s="158"/>
      <c r="S794" s="403"/>
    </row>
    <row r="795" spans="3:19" ht="13.5">
      <c r="D795" s="576" t="s">
        <v>950</v>
      </c>
      <c r="E795" s="1073" t="s">
        <v>921</v>
      </c>
      <c r="F795" s="1073"/>
      <c r="G795" s="577">
        <f>K810*K796</f>
        <v>577.59715789784809</v>
      </c>
      <c r="H795" s="576" t="s">
        <v>839</v>
      </c>
      <c r="I795" s="573"/>
      <c r="J795" s="567"/>
      <c r="K795" s="563"/>
      <c r="L795" s="569"/>
      <c r="M795" s="563"/>
      <c r="Q795" s="395"/>
      <c r="R795" s="158"/>
      <c r="S795" s="403"/>
    </row>
    <row r="796" spans="3:19" ht="13.5">
      <c r="D796" s="576" t="s">
        <v>951</v>
      </c>
      <c r="E796" s="1073" t="s">
        <v>922</v>
      </c>
      <c r="F796" s="1073"/>
      <c r="G796" s="577">
        <f>K811*K796</f>
        <v>1.2977886141517274</v>
      </c>
      <c r="H796" s="576" t="s">
        <v>842</v>
      </c>
      <c r="I796" s="573"/>
      <c r="J796" s="570" t="s">
        <v>843</v>
      </c>
      <c r="K796" s="571">
        <v>1</v>
      </c>
      <c r="L796" s="572" t="s">
        <v>987</v>
      </c>
      <c r="M796" s="563"/>
      <c r="Q796" s="395"/>
      <c r="R796" s="158"/>
      <c r="S796" s="403"/>
    </row>
    <row r="797" spans="3:19" ht="15">
      <c r="D797" s="576" t="s">
        <v>952</v>
      </c>
      <c r="E797" s="1073" t="s">
        <v>923</v>
      </c>
      <c r="F797" s="1073"/>
      <c r="G797" s="577">
        <f>K812*K796</f>
        <v>1.2165640138223426</v>
      </c>
      <c r="H797" s="576" t="s">
        <v>842</v>
      </c>
      <c r="I797" s="573"/>
      <c r="J797" s="574"/>
      <c r="K797" s="573"/>
      <c r="L797" s="573"/>
      <c r="M797" s="286"/>
      <c r="N797" s="286"/>
      <c r="O797" s="286"/>
      <c r="P797" s="286"/>
      <c r="Q797" s="395"/>
      <c r="R797" s="158"/>
      <c r="S797" s="403"/>
    </row>
    <row r="798" spans="3:19" ht="24" customHeight="1">
      <c r="D798" s="576" t="s">
        <v>953</v>
      </c>
      <c r="E798" s="1073" t="s">
        <v>924</v>
      </c>
      <c r="F798" s="1073"/>
      <c r="G798" s="577">
        <v>1</v>
      </c>
      <c r="H798" s="576" t="s">
        <v>839</v>
      </c>
      <c r="I798" s="573"/>
      <c r="J798" s="973" t="s">
        <v>1433</v>
      </c>
      <c r="K798" s="973"/>
      <c r="L798" s="973"/>
      <c r="M798" s="973"/>
      <c r="N798" s="286"/>
      <c r="O798" s="286"/>
      <c r="P798" s="286"/>
      <c r="Q798" s="395"/>
      <c r="R798" s="158"/>
      <c r="S798" s="403"/>
    </row>
    <row r="799" spans="3:19" ht="15">
      <c r="D799" s="576" t="s">
        <v>954</v>
      </c>
      <c r="E799" s="1073" t="s">
        <v>925</v>
      </c>
      <c r="F799" s="1073"/>
      <c r="G799" s="577">
        <f>(M827+M828+M829)*K796</f>
        <v>155.34288000000001</v>
      </c>
      <c r="H799" s="576" t="s">
        <v>839</v>
      </c>
      <c r="I799" s="573"/>
      <c r="J799" s="973"/>
      <c r="K799" s="973"/>
      <c r="L799" s="973"/>
      <c r="M799" s="973"/>
      <c r="N799" s="286"/>
      <c r="O799" s="286"/>
      <c r="P799" s="286"/>
      <c r="Q799" s="395"/>
      <c r="R799" s="158"/>
      <c r="S799" s="403"/>
    </row>
    <row r="800" spans="3:19" ht="15">
      <c r="D800" s="576" t="s">
        <v>955</v>
      </c>
      <c r="E800" s="1073" t="s">
        <v>926</v>
      </c>
      <c r="F800" s="1073"/>
      <c r="G800" s="577">
        <f>(M825+M826)*K796</f>
        <v>58.08</v>
      </c>
      <c r="H800" s="576" t="s">
        <v>839</v>
      </c>
      <c r="I800" s="573"/>
      <c r="J800" s="973"/>
      <c r="K800" s="973"/>
      <c r="L800" s="973"/>
      <c r="M800" s="973"/>
      <c r="N800" s="286"/>
      <c r="O800" s="286"/>
      <c r="P800" s="286"/>
      <c r="Q800" s="395"/>
      <c r="R800" s="158"/>
      <c r="S800" s="403"/>
    </row>
    <row r="801" spans="4:19" ht="15">
      <c r="D801" s="286"/>
      <c r="E801" s="286"/>
      <c r="F801" s="286"/>
      <c r="G801" s="286"/>
      <c r="H801" s="286"/>
      <c r="I801" s="286"/>
      <c r="J801" s="973"/>
      <c r="K801" s="973"/>
      <c r="L801" s="973"/>
      <c r="M801" s="973"/>
      <c r="N801" s="286"/>
      <c r="O801" s="286"/>
      <c r="P801" s="286"/>
      <c r="Q801" s="395"/>
      <c r="R801" s="158"/>
      <c r="S801" s="403"/>
    </row>
    <row r="802" spans="4:19" ht="15">
      <c r="D802" s="286"/>
      <c r="E802" s="286"/>
      <c r="F802" s="286"/>
      <c r="G802" s="286"/>
      <c r="H802" s="286"/>
      <c r="I802" s="286"/>
      <c r="J802" s="610"/>
      <c r="K802" s="610"/>
      <c r="L802" s="610"/>
      <c r="M802" s="610"/>
      <c r="N802" s="286"/>
      <c r="O802" s="286"/>
      <c r="P802" s="286"/>
      <c r="Q802" s="395"/>
      <c r="R802" s="158"/>
      <c r="S802" s="403"/>
    </row>
    <row r="803" spans="4:19" ht="15">
      <c r="D803" s="1084" t="s">
        <v>928</v>
      </c>
      <c r="E803" s="1085"/>
      <c r="F803" s="1085"/>
      <c r="G803" s="1085"/>
      <c r="H803" s="1085"/>
      <c r="I803" s="1085"/>
      <c r="J803" s="1085"/>
      <c r="K803" s="1085"/>
      <c r="L803" s="1085"/>
      <c r="M803" s="1085"/>
      <c r="N803" s="1085"/>
      <c r="O803" s="1086"/>
      <c r="P803" s="286"/>
      <c r="Q803" s="395"/>
      <c r="R803" s="158"/>
      <c r="S803" s="403"/>
    </row>
    <row r="804" spans="4:19" ht="15">
      <c r="D804" s="578"/>
      <c r="E804" s="579"/>
      <c r="F804" s="579"/>
      <c r="G804" s="579"/>
      <c r="H804" s="579"/>
      <c r="I804" s="579"/>
      <c r="J804" s="579"/>
      <c r="K804" s="579"/>
      <c r="L804" s="579"/>
      <c r="M804" s="579"/>
      <c r="N804" s="580"/>
      <c r="O804" s="581"/>
      <c r="P804" s="286"/>
      <c r="Q804" s="395"/>
      <c r="R804" s="158"/>
      <c r="S804" s="403"/>
    </row>
    <row r="805" spans="4:19" ht="15">
      <c r="D805" s="582"/>
      <c r="E805" s="1083" t="s">
        <v>927</v>
      </c>
      <c r="F805" s="1083"/>
      <c r="G805" s="1083"/>
      <c r="H805" s="1083"/>
      <c r="I805" s="565"/>
      <c r="J805" s="1083" t="s">
        <v>856</v>
      </c>
      <c r="K805" s="1083"/>
      <c r="L805" s="1083"/>
      <c r="M805" s="1083"/>
      <c r="N805" s="1083"/>
      <c r="O805" s="583"/>
      <c r="P805" s="286"/>
      <c r="Q805" s="395"/>
      <c r="R805" s="158"/>
      <c r="S805" s="403"/>
    </row>
    <row r="806" spans="4:19" ht="15">
      <c r="D806" s="582"/>
      <c r="E806" s="584" t="s">
        <v>857</v>
      </c>
      <c r="F806" s="584" t="s">
        <v>822</v>
      </c>
      <c r="G806" s="584" t="s">
        <v>858</v>
      </c>
      <c r="H806" s="584" t="s">
        <v>859</v>
      </c>
      <c r="I806" s="565"/>
      <c r="J806" s="1074" t="s">
        <v>860</v>
      </c>
      <c r="K806" s="1074" t="s">
        <v>861</v>
      </c>
      <c r="L806" s="1074" t="s">
        <v>862</v>
      </c>
      <c r="M806" s="1074" t="s">
        <v>863</v>
      </c>
      <c r="N806" s="1076" t="s">
        <v>864</v>
      </c>
      <c r="O806" s="583"/>
      <c r="P806" s="286"/>
      <c r="Q806" s="395"/>
      <c r="R806" s="158"/>
      <c r="S806" s="403"/>
    </row>
    <row r="807" spans="4:19" ht="21.75" customHeight="1">
      <c r="D807" s="582"/>
      <c r="E807" s="585" t="s">
        <v>865</v>
      </c>
      <c r="F807" s="586">
        <f>F808-0.4</f>
        <v>2</v>
      </c>
      <c r="G807" s="586">
        <f>G808-0.4</f>
        <v>2</v>
      </c>
      <c r="H807" s="586">
        <v>2</v>
      </c>
      <c r="I807" s="565"/>
      <c r="J807" s="1075"/>
      <c r="K807" s="1075"/>
      <c r="L807" s="1075"/>
      <c r="M807" s="1075"/>
      <c r="N807" s="1076"/>
      <c r="O807" s="583"/>
      <c r="P807" s="286"/>
    </row>
    <row r="808" spans="4:19" ht="15">
      <c r="D808" s="582"/>
      <c r="E808" s="585" t="s">
        <v>866</v>
      </c>
      <c r="F808" s="586">
        <v>2.4</v>
      </c>
      <c r="G808" s="586">
        <v>2.4</v>
      </c>
      <c r="H808" s="586">
        <v>2</v>
      </c>
      <c r="I808" s="587"/>
      <c r="J808" s="588" t="s">
        <v>867</v>
      </c>
      <c r="K808" s="589">
        <v>6.4</v>
      </c>
      <c r="L808" s="589">
        <v>0.71899999999999997</v>
      </c>
      <c r="M808" s="589">
        <v>0.67400000000000004</v>
      </c>
      <c r="N808" s="589">
        <v>207</v>
      </c>
      <c r="O808" s="583"/>
      <c r="P808" s="286"/>
    </row>
    <row r="809" spans="4:19" ht="15">
      <c r="D809" s="582"/>
      <c r="E809" s="564" t="s">
        <v>868</v>
      </c>
      <c r="F809" s="594" t="s">
        <v>869</v>
      </c>
      <c r="G809" s="564" t="s">
        <v>830</v>
      </c>
      <c r="H809" s="565"/>
      <c r="I809" s="587"/>
      <c r="J809" s="564" t="s">
        <v>868</v>
      </c>
      <c r="K809" s="566" t="s">
        <v>30</v>
      </c>
      <c r="L809" s="564" t="s">
        <v>830</v>
      </c>
      <c r="M809" s="565"/>
      <c r="N809" s="565"/>
      <c r="O809" s="583"/>
      <c r="P809" s="286"/>
    </row>
    <row r="810" spans="4:19" ht="36.75" customHeight="1">
      <c r="D810" s="582"/>
      <c r="E810" s="590" t="s">
        <v>1222</v>
      </c>
      <c r="F810" s="591">
        <f>((((F808+F808+G808+G808)*H808)*12.5)-F811)*1.1</f>
        <v>181.23600000000002</v>
      </c>
      <c r="G810" s="588" t="s">
        <v>871</v>
      </c>
      <c r="H810" s="565"/>
      <c r="I810" s="587"/>
      <c r="J810" s="585" t="s">
        <v>872</v>
      </c>
      <c r="K810" s="586">
        <f>H820*K808*50</f>
        <v>577.59715789784809</v>
      </c>
      <c r="L810" s="589" t="s">
        <v>130</v>
      </c>
      <c r="M810" s="592"/>
      <c r="N810" s="565"/>
      <c r="O810" s="583"/>
      <c r="P810" s="286"/>
    </row>
    <row r="811" spans="4:19" ht="46.5" customHeight="1">
      <c r="D811" s="582"/>
      <c r="E811" s="590" t="s">
        <v>1223</v>
      </c>
      <c r="F811" s="591">
        <f>((((F808+F808+G808+G808)*0.19)*3)*12.5)*1.1</f>
        <v>75.239999999999995</v>
      </c>
      <c r="G811" s="588" t="s">
        <v>871</v>
      </c>
      <c r="H811" s="565"/>
      <c r="I811" s="587"/>
      <c r="J811" s="585" t="s">
        <v>874</v>
      </c>
      <c r="K811" s="586">
        <f>H820*L808</f>
        <v>1.2977886141517274</v>
      </c>
      <c r="L811" s="589" t="s">
        <v>18</v>
      </c>
      <c r="M811" s="565"/>
      <c r="N811" s="565"/>
      <c r="O811" s="583"/>
      <c r="P811" s="286"/>
      <c r="Q811" s="395"/>
      <c r="R811" s="158"/>
      <c r="S811" s="403"/>
    </row>
    <row r="812" spans="4:19" ht="15">
      <c r="D812" s="582"/>
      <c r="E812" s="565"/>
      <c r="F812" s="565"/>
      <c r="G812" s="565"/>
      <c r="H812" s="565"/>
      <c r="I812" s="587"/>
      <c r="J812" s="585" t="s">
        <v>875</v>
      </c>
      <c r="K812" s="586">
        <f>H820*M808</f>
        <v>1.2165640138223426</v>
      </c>
      <c r="L812" s="589" t="s">
        <v>18</v>
      </c>
      <c r="M812" s="565"/>
      <c r="N812" s="565"/>
      <c r="O812" s="583"/>
      <c r="P812" s="286"/>
      <c r="Q812" s="395"/>
      <c r="R812" s="158"/>
      <c r="S812" s="403"/>
    </row>
    <row r="813" spans="4:19" ht="15">
      <c r="D813" s="582"/>
      <c r="E813" s="565"/>
      <c r="F813" s="565"/>
      <c r="G813" s="565"/>
      <c r="H813" s="565"/>
      <c r="I813" s="587"/>
      <c r="J813" s="565"/>
      <c r="K813" s="565"/>
      <c r="L813" s="565"/>
      <c r="M813" s="565"/>
      <c r="N813" s="587"/>
      <c r="O813" s="583"/>
      <c r="P813" s="286"/>
      <c r="Q813" s="395"/>
      <c r="R813" s="158"/>
      <c r="S813" s="403"/>
    </row>
    <row r="814" spans="4:19" ht="15">
      <c r="D814" s="582"/>
      <c r="E814" s="1083" t="s">
        <v>876</v>
      </c>
      <c r="F814" s="1083"/>
      <c r="G814" s="1083"/>
      <c r="H814" s="1083"/>
      <c r="I814" s="593"/>
      <c r="J814" s="1189" t="s">
        <v>877</v>
      </c>
      <c r="K814" s="1189"/>
      <c r="L814" s="1189"/>
      <c r="M814" s="1189"/>
      <c r="N814" s="1189"/>
      <c r="O814" s="583"/>
      <c r="P814" s="286"/>
      <c r="Q814" s="395"/>
      <c r="R814" s="158"/>
      <c r="S814" s="403"/>
    </row>
    <row r="815" spans="4:19" ht="33.75">
      <c r="D815" s="582"/>
      <c r="E815" s="594" t="s">
        <v>878</v>
      </c>
      <c r="F815" s="595" t="s">
        <v>30</v>
      </c>
      <c r="G815" s="595" t="s">
        <v>879</v>
      </c>
      <c r="H815" s="595" t="s">
        <v>880</v>
      </c>
      <c r="I815" s="593"/>
      <c r="J815" s="1195" t="s">
        <v>881</v>
      </c>
      <c r="K815" s="564" t="s">
        <v>882</v>
      </c>
      <c r="L815" s="594" t="s">
        <v>883</v>
      </c>
      <c r="M815" s="564" t="s">
        <v>884</v>
      </c>
      <c r="N815" s="564" t="s">
        <v>885</v>
      </c>
      <c r="O815" s="583"/>
      <c r="P815" s="286"/>
      <c r="Q815" s="395"/>
      <c r="R815" s="158"/>
      <c r="S815" s="403"/>
    </row>
    <row r="816" spans="4:19" ht="15">
      <c r="D816" s="582"/>
      <c r="E816" s="596" t="s">
        <v>886</v>
      </c>
      <c r="F816" s="586">
        <v>6</v>
      </c>
      <c r="G816" s="597">
        <f>((PI()*0.2*0.2)/4)*2</f>
        <v>6.2831853071795868E-2</v>
      </c>
      <c r="H816" s="586">
        <f>G816*F816</f>
        <v>0.37699111843077521</v>
      </c>
      <c r="I816" s="593"/>
      <c r="J816" s="1196"/>
      <c r="K816" s="586">
        <f>F807</f>
        <v>2</v>
      </c>
      <c r="L816" s="586">
        <f>G807</f>
        <v>2</v>
      </c>
      <c r="M816" s="586">
        <v>0.1</v>
      </c>
      <c r="N816" s="586">
        <f>M816*L816*K816</f>
        <v>0.4</v>
      </c>
      <c r="O816" s="583"/>
      <c r="P816" s="286"/>
      <c r="Q816" s="395"/>
      <c r="R816" s="158"/>
      <c r="S816" s="403"/>
    </row>
    <row r="817" spans="4:19" ht="15">
      <c r="D817" s="582"/>
      <c r="E817" s="596" t="s">
        <v>887</v>
      </c>
      <c r="F817" s="586">
        <v>6</v>
      </c>
      <c r="G817" s="597">
        <f>H807*0.0144</f>
        <v>2.8799999999999999E-2</v>
      </c>
      <c r="H817" s="586">
        <f>G817*F817</f>
        <v>0.17280000000000001</v>
      </c>
      <c r="I817" s="593"/>
      <c r="J817" s="1197" t="s">
        <v>888</v>
      </c>
      <c r="K817" s="564" t="s">
        <v>889</v>
      </c>
      <c r="L817" s="564" t="s">
        <v>890</v>
      </c>
      <c r="M817" s="564" t="s">
        <v>885</v>
      </c>
      <c r="N817" s="565"/>
      <c r="O817" s="583"/>
      <c r="P817" s="286"/>
      <c r="Q817" s="395"/>
      <c r="R817" s="158"/>
      <c r="S817" s="403"/>
    </row>
    <row r="818" spans="4:19" ht="15">
      <c r="D818" s="582"/>
      <c r="E818" s="596" t="s">
        <v>891</v>
      </c>
      <c r="F818" s="586">
        <v>3</v>
      </c>
      <c r="G818" s="597">
        <f>0.0163*8</f>
        <v>0.13039999999999999</v>
      </c>
      <c r="H818" s="586">
        <f>G818*F818</f>
        <v>0.39119999999999999</v>
      </c>
      <c r="I818" s="593"/>
      <c r="J818" s="1197"/>
      <c r="K818" s="586">
        <v>0.3</v>
      </c>
      <c r="L818" s="586">
        <v>0.8</v>
      </c>
      <c r="M818" s="586">
        <f>((3.14*(K818*K818)/4)*L818)</f>
        <v>5.6520000000000008E-2</v>
      </c>
      <c r="N818" s="565"/>
      <c r="O818" s="583"/>
      <c r="P818" s="286"/>
      <c r="Q818" s="395"/>
      <c r="R818" s="158"/>
      <c r="S818" s="403"/>
    </row>
    <row r="819" spans="4:19" ht="15">
      <c r="D819" s="582"/>
      <c r="E819" s="596" t="s">
        <v>892</v>
      </c>
      <c r="F819" s="586">
        <v>1</v>
      </c>
      <c r="G819" s="597">
        <f>F808*G808*0.15</f>
        <v>0.86399999999999999</v>
      </c>
      <c r="H819" s="586">
        <f>G819*F819</f>
        <v>0.86399999999999999</v>
      </c>
      <c r="I819" s="593"/>
      <c r="J819" s="587"/>
      <c r="K819" s="587"/>
      <c r="L819" s="565"/>
      <c r="M819" s="565"/>
      <c r="N819" s="565"/>
      <c r="O819" s="583"/>
      <c r="P819" s="286"/>
      <c r="Q819" s="395"/>
      <c r="R819" s="158"/>
      <c r="S819" s="403"/>
    </row>
    <row r="820" spans="4:19" ht="15">
      <c r="D820" s="582"/>
      <c r="E820" s="565"/>
      <c r="F820" s="598"/>
      <c r="G820" s="598"/>
      <c r="H820" s="599">
        <f>SUM(H816:H819)</f>
        <v>1.8049911184307752</v>
      </c>
      <c r="I820" s="593"/>
      <c r="J820" s="587"/>
      <c r="K820" s="587"/>
      <c r="L820" s="565"/>
      <c r="M820" s="565"/>
      <c r="N820" s="565"/>
      <c r="O820" s="583"/>
      <c r="P820" s="286"/>
      <c r="Q820" s="395"/>
      <c r="R820" s="158"/>
      <c r="S820" s="403"/>
    </row>
    <row r="821" spans="4:19" ht="15">
      <c r="D821" s="582"/>
      <c r="E821" s="565"/>
      <c r="F821" s="598"/>
      <c r="G821" s="598"/>
      <c r="H821" s="600"/>
      <c r="I821" s="593"/>
      <c r="J821" s="587"/>
      <c r="K821" s="587"/>
      <c r="L821" s="565"/>
      <c r="M821" s="565"/>
      <c r="N821" s="565"/>
      <c r="O821" s="583"/>
      <c r="P821" s="286"/>
      <c r="Q821" s="395"/>
      <c r="R821" s="158"/>
      <c r="S821" s="403"/>
    </row>
    <row r="822" spans="4:19" ht="15">
      <c r="D822" s="582"/>
      <c r="E822" s="565"/>
      <c r="F822" s="1198" t="s">
        <v>893</v>
      </c>
      <c r="G822" s="1199"/>
      <c r="H822" s="1199"/>
      <c r="I822" s="1199"/>
      <c r="J822" s="1199"/>
      <c r="K822" s="1199"/>
      <c r="L822" s="1199"/>
      <c r="M822" s="1200"/>
      <c r="N822" s="565"/>
      <c r="O822" s="583"/>
      <c r="P822" s="286"/>
      <c r="Q822" s="395"/>
      <c r="R822" s="158"/>
      <c r="S822" s="403"/>
    </row>
    <row r="823" spans="4:19" ht="15">
      <c r="D823" s="582"/>
      <c r="E823" s="565"/>
      <c r="F823" s="1201" t="s">
        <v>894</v>
      </c>
      <c r="G823" s="1195" t="s">
        <v>895</v>
      </c>
      <c r="H823" s="1195" t="s">
        <v>30</v>
      </c>
      <c r="I823" s="1195" t="s">
        <v>896</v>
      </c>
      <c r="J823" s="1195" t="s">
        <v>897</v>
      </c>
      <c r="K823" s="1195" t="s">
        <v>898</v>
      </c>
      <c r="L823" s="1195" t="s">
        <v>899</v>
      </c>
      <c r="M823" s="1195" t="s">
        <v>900</v>
      </c>
      <c r="N823" s="565"/>
      <c r="O823" s="583"/>
      <c r="P823" s="286"/>
      <c r="Q823" s="395"/>
      <c r="R823" s="158"/>
      <c r="S823" s="403"/>
    </row>
    <row r="824" spans="4:19" ht="24" customHeight="1">
      <c r="D824" s="582"/>
      <c r="E824" s="565"/>
      <c r="F824" s="1201"/>
      <c r="G824" s="1196"/>
      <c r="H824" s="1196"/>
      <c r="I824" s="1196"/>
      <c r="J824" s="1196"/>
      <c r="K824" s="1196"/>
      <c r="L824" s="1196"/>
      <c r="M824" s="1196"/>
      <c r="N824" s="565"/>
      <c r="O824" s="583"/>
      <c r="P824" s="286"/>
      <c r="Q824" s="395"/>
      <c r="R824" s="158"/>
      <c r="S824" s="403"/>
    </row>
    <row r="825" spans="4:19" ht="15">
      <c r="D825" s="582"/>
      <c r="E825" s="565"/>
      <c r="F825" s="596" t="s">
        <v>901</v>
      </c>
      <c r="G825" s="585" t="s">
        <v>902</v>
      </c>
      <c r="H825" s="586">
        <v>3</v>
      </c>
      <c r="I825" s="586">
        <f>(F808+F808+G808+G808)+0.4</f>
        <v>10</v>
      </c>
      <c r="J825" s="585">
        <f>I825*H825</f>
        <v>30</v>
      </c>
      <c r="K825" s="586">
        <v>1</v>
      </c>
      <c r="L825" s="586">
        <f>K825*J825</f>
        <v>30</v>
      </c>
      <c r="M825" s="586">
        <f>L825*1.1</f>
        <v>33</v>
      </c>
      <c r="N825" s="565"/>
      <c r="O825" s="583"/>
      <c r="P825" s="286"/>
      <c r="Q825" s="395"/>
      <c r="R825" s="158"/>
      <c r="S825" s="403"/>
    </row>
    <row r="826" spans="4:19" ht="15">
      <c r="D826" s="582"/>
      <c r="E826" s="565"/>
      <c r="F826" s="596" t="s">
        <v>903</v>
      </c>
      <c r="G826" s="585" t="s">
        <v>902</v>
      </c>
      <c r="H826" s="586">
        <v>6</v>
      </c>
      <c r="I826" s="586">
        <f>2+1.8</f>
        <v>3.8</v>
      </c>
      <c r="J826" s="585">
        <f>I826*H826</f>
        <v>22.799999999999997</v>
      </c>
      <c r="K826" s="586">
        <v>1</v>
      </c>
      <c r="L826" s="586">
        <f>K826*J826</f>
        <v>22.799999999999997</v>
      </c>
      <c r="M826" s="586">
        <f>L826*1.1</f>
        <v>25.08</v>
      </c>
      <c r="N826" s="565"/>
      <c r="O826" s="583"/>
      <c r="P826" s="286"/>
      <c r="Q826" s="395"/>
      <c r="R826" s="158"/>
      <c r="S826" s="403"/>
    </row>
    <row r="827" spans="4:19" ht="15">
      <c r="D827" s="582"/>
      <c r="E827" s="565"/>
      <c r="F827" s="596" t="s">
        <v>904</v>
      </c>
      <c r="G827" s="585" t="s">
        <v>905</v>
      </c>
      <c r="H827" s="586">
        <f>26*2</f>
        <v>52</v>
      </c>
      <c r="I827" s="586">
        <f>((F808-0.06)+0.18)</f>
        <v>2.52</v>
      </c>
      <c r="J827" s="585">
        <f>I827*H827</f>
        <v>131.04</v>
      </c>
      <c r="K827" s="586">
        <v>0.63</v>
      </c>
      <c r="L827" s="586">
        <f>K827*J827</f>
        <v>82.555199999999999</v>
      </c>
      <c r="M827" s="586">
        <f>L827*1.1</f>
        <v>90.810720000000003</v>
      </c>
      <c r="N827" s="565"/>
      <c r="O827" s="583"/>
      <c r="P827" s="286"/>
      <c r="Q827" s="395"/>
      <c r="R827" s="158"/>
      <c r="S827" s="403"/>
    </row>
    <row r="828" spans="4:19" ht="15">
      <c r="D828" s="582"/>
      <c r="E828" s="565"/>
      <c r="F828" s="596" t="s">
        <v>906</v>
      </c>
      <c r="G828" s="585" t="s">
        <v>905</v>
      </c>
      <c r="H828" s="586">
        <f>18*2</f>
        <v>36</v>
      </c>
      <c r="I828" s="586">
        <f>((G808-0.06)+0.18)</f>
        <v>2.52</v>
      </c>
      <c r="J828" s="585">
        <f>I828*H828</f>
        <v>90.72</v>
      </c>
      <c r="K828" s="586">
        <v>0.63</v>
      </c>
      <c r="L828" s="586">
        <f>K828*J828</f>
        <v>57.153599999999997</v>
      </c>
      <c r="M828" s="586">
        <f>L828*1.1</f>
        <v>62.868960000000001</v>
      </c>
      <c r="N828" s="565"/>
      <c r="O828" s="583"/>
      <c r="P828" s="286"/>
      <c r="Q828" s="395"/>
      <c r="R828" s="158"/>
      <c r="S828" s="403"/>
    </row>
    <row r="829" spans="4:19" ht="22.5">
      <c r="D829" s="582"/>
      <c r="E829" s="565"/>
      <c r="F829" s="606" t="s">
        <v>907</v>
      </c>
      <c r="G829" s="585" t="s">
        <v>905</v>
      </c>
      <c r="H829" s="586">
        <v>2</v>
      </c>
      <c r="I829" s="586">
        <v>1.2</v>
      </c>
      <c r="J829" s="585">
        <f>I829*H829</f>
        <v>2.4</v>
      </c>
      <c r="K829" s="586">
        <v>0.63</v>
      </c>
      <c r="L829" s="586">
        <f>K829*J829</f>
        <v>1.512</v>
      </c>
      <c r="M829" s="601">
        <f>L829*1.1</f>
        <v>1.6632000000000002</v>
      </c>
      <c r="N829" s="565"/>
      <c r="O829" s="583"/>
      <c r="P829" s="286"/>
      <c r="Q829" s="395"/>
      <c r="R829" s="158"/>
      <c r="S829" s="403"/>
    </row>
    <row r="830" spans="4:19" ht="15">
      <c r="D830" s="582"/>
      <c r="E830" s="565"/>
      <c r="F830" s="587"/>
      <c r="G830" s="587"/>
      <c r="H830" s="587"/>
      <c r="I830" s="587"/>
      <c r="J830" s="587"/>
      <c r="K830" s="587"/>
      <c r="L830" s="565"/>
      <c r="M830" s="599">
        <f>SUM(M825:M829)</f>
        <v>213.42287999999999</v>
      </c>
      <c r="N830" s="565"/>
      <c r="O830" s="583"/>
      <c r="P830" s="286"/>
      <c r="Q830" s="395"/>
      <c r="R830" s="158"/>
      <c r="S830" s="403"/>
    </row>
    <row r="831" spans="4:19" ht="15">
      <c r="D831" s="602"/>
      <c r="E831" s="603"/>
      <c r="F831" s="603"/>
      <c r="G831" s="603"/>
      <c r="H831" s="603"/>
      <c r="I831" s="603"/>
      <c r="J831" s="603"/>
      <c r="K831" s="604"/>
      <c r="L831" s="604"/>
      <c r="M831" s="604"/>
      <c r="N831" s="604"/>
      <c r="O831" s="605"/>
      <c r="P831" s="286"/>
      <c r="Q831" s="395"/>
      <c r="R831" s="158"/>
      <c r="S831" s="403"/>
    </row>
    <row r="832" spans="4:19">
      <c r="D832" s="267"/>
      <c r="E832" s="395"/>
      <c r="F832" s="395"/>
      <c r="G832" s="395"/>
      <c r="H832" s="395"/>
      <c r="I832" s="395"/>
      <c r="J832" s="395"/>
      <c r="K832" s="395"/>
      <c r="L832" s="395"/>
      <c r="M832" s="395"/>
      <c r="N832" s="395"/>
      <c r="O832" s="395"/>
      <c r="P832" s="395"/>
      <c r="Q832" s="395"/>
      <c r="R832" s="158"/>
      <c r="S832" s="403"/>
    </row>
    <row r="833" spans="3:19">
      <c r="D833" s="267"/>
      <c r="E833" s="395"/>
      <c r="F833" s="395"/>
      <c r="G833" s="395"/>
      <c r="H833" s="395"/>
      <c r="I833" s="395"/>
      <c r="J833" s="395"/>
      <c r="K833" s="395"/>
      <c r="L833" s="395"/>
      <c r="M833" s="395"/>
      <c r="N833" s="395"/>
      <c r="O833" s="395"/>
      <c r="P833" s="395"/>
      <c r="Q833" s="395"/>
      <c r="R833" s="158"/>
      <c r="S833" s="403"/>
    </row>
    <row r="834" spans="3:19">
      <c r="C834" s="205" t="s">
        <v>956</v>
      </c>
      <c r="D834" s="396" t="s">
        <v>1298</v>
      </c>
      <c r="E834" s="395"/>
      <c r="F834" s="395"/>
      <c r="G834" s="395"/>
      <c r="H834" s="395"/>
      <c r="I834" s="395"/>
      <c r="J834" s="395"/>
      <c r="K834" s="395"/>
      <c r="L834" s="395"/>
      <c r="M834" s="395"/>
      <c r="N834" s="395"/>
      <c r="O834" s="395"/>
      <c r="P834" s="395"/>
      <c r="Q834" s="395"/>
      <c r="R834" s="158"/>
      <c r="S834" s="403"/>
    </row>
    <row r="835" spans="3:19">
      <c r="C835" s="205"/>
      <c r="D835" s="174"/>
      <c r="E835" s="395"/>
      <c r="F835" s="395"/>
      <c r="G835" s="395"/>
      <c r="H835" s="395"/>
      <c r="I835" s="395"/>
      <c r="J835" s="395"/>
      <c r="K835" s="395"/>
      <c r="L835" s="395"/>
      <c r="M835" s="395"/>
      <c r="N835" s="395"/>
      <c r="O835" s="395"/>
      <c r="P835" s="395"/>
      <c r="Q835" s="395"/>
      <c r="R835" s="158"/>
      <c r="S835" s="403"/>
    </row>
    <row r="836" spans="3:19">
      <c r="C836" s="205"/>
      <c r="D836" s="576" t="s">
        <v>957</v>
      </c>
      <c r="E836" s="267" t="s">
        <v>1228</v>
      </c>
      <c r="F836" s="395"/>
      <c r="G836" s="395"/>
      <c r="H836" s="395"/>
      <c r="I836" s="395"/>
      <c r="J836" s="395"/>
      <c r="K836" s="395"/>
      <c r="L836" s="395"/>
      <c r="M836" s="395"/>
      <c r="N836" s="395"/>
      <c r="O836" s="395"/>
      <c r="P836" s="395"/>
      <c r="Q836" s="395"/>
      <c r="R836" s="157">
        <f>4*K794</f>
        <v>20</v>
      </c>
      <c r="S836" s="11" t="s">
        <v>352</v>
      </c>
    </row>
    <row r="837" spans="3:19">
      <c r="D837" s="576" t="s">
        <v>958</v>
      </c>
      <c r="E837" s="267" t="s">
        <v>1225</v>
      </c>
      <c r="F837" s="395"/>
      <c r="G837" s="395"/>
      <c r="H837" s="395"/>
      <c r="I837" s="395"/>
      <c r="J837" s="395"/>
      <c r="K837" s="395"/>
      <c r="L837" s="395"/>
      <c r="M837" s="395"/>
      <c r="N837" s="395"/>
      <c r="O837" s="395"/>
      <c r="P837" s="395"/>
      <c r="Q837" s="395"/>
      <c r="R837" s="157">
        <f>8*K794*1</f>
        <v>40</v>
      </c>
      <c r="S837" s="11" t="s">
        <v>352</v>
      </c>
    </row>
    <row r="838" spans="3:19">
      <c r="D838" s="576" t="s">
        <v>959</v>
      </c>
      <c r="E838" s="267" t="s">
        <v>1226</v>
      </c>
      <c r="F838" s="395"/>
      <c r="G838" s="395"/>
      <c r="H838" s="395"/>
      <c r="I838" s="395"/>
      <c r="J838" s="395"/>
      <c r="K838" s="395"/>
      <c r="L838" s="395"/>
      <c r="M838" s="395"/>
      <c r="N838" s="395"/>
      <c r="O838" s="395"/>
      <c r="P838" s="395"/>
      <c r="Q838" s="395"/>
      <c r="R838" s="157">
        <f>8*K794*1</f>
        <v>40</v>
      </c>
      <c r="S838" s="11" t="s">
        <v>352</v>
      </c>
    </row>
    <row r="839" spans="3:19">
      <c r="D839" s="576" t="s">
        <v>960</v>
      </c>
      <c r="E839" s="267" t="s">
        <v>1227</v>
      </c>
      <c r="F839" s="395"/>
      <c r="G839" s="395"/>
      <c r="H839" s="395"/>
      <c r="I839" s="395"/>
      <c r="J839" s="395"/>
      <c r="K839" s="395"/>
      <c r="L839" s="395"/>
      <c r="M839" s="395"/>
      <c r="N839" s="395"/>
      <c r="O839" s="395"/>
      <c r="P839" s="395"/>
      <c r="Q839" s="395"/>
      <c r="R839" s="157">
        <f>8*1*1</f>
        <v>8</v>
      </c>
      <c r="S839" s="11" t="s">
        <v>352</v>
      </c>
    </row>
    <row r="840" spans="3:19">
      <c r="D840" s="576" t="s">
        <v>961</v>
      </c>
      <c r="E840" s="267" t="s">
        <v>1224</v>
      </c>
      <c r="F840" s="267"/>
      <c r="G840" s="267"/>
      <c r="H840" s="267"/>
      <c r="I840" s="267"/>
      <c r="J840" s="267"/>
      <c r="K840" s="276"/>
      <c r="L840" s="276"/>
      <c r="M840" s="267"/>
      <c r="N840" s="267"/>
      <c r="O840" s="395"/>
      <c r="P840" s="395"/>
      <c r="Q840" s="395"/>
      <c r="R840" s="317"/>
      <c r="S840" s="317"/>
    </row>
    <row r="841" spans="3:19">
      <c r="E841" s="267" t="s">
        <v>1229</v>
      </c>
      <c r="F841" s="267"/>
      <c r="G841" s="267"/>
      <c r="H841" s="267"/>
      <c r="I841" s="267"/>
      <c r="J841" s="267"/>
      <c r="K841" s="267"/>
      <c r="L841" s="267"/>
      <c r="M841" s="267"/>
      <c r="N841" s="267"/>
      <c r="O841" s="267"/>
      <c r="P841" s="267"/>
      <c r="Q841" s="280"/>
      <c r="R841" s="157">
        <f>K796*4</f>
        <v>4</v>
      </c>
      <c r="S841" s="11" t="s">
        <v>179</v>
      </c>
    </row>
    <row r="842" spans="3:19">
      <c r="D842" s="267"/>
      <c r="E842" s="267"/>
      <c r="F842" s="267"/>
      <c r="G842" s="282"/>
      <c r="H842" s="282"/>
      <c r="I842" s="267"/>
      <c r="J842" s="267"/>
      <c r="K842" s="267"/>
      <c r="L842" s="267"/>
      <c r="M842" s="267"/>
      <c r="N842" s="267"/>
      <c r="O842" s="395"/>
      <c r="P842" s="395"/>
      <c r="Q842" s="395"/>
      <c r="R842" s="158"/>
      <c r="S842" s="403"/>
    </row>
    <row r="843" spans="3:19">
      <c r="D843" s="267"/>
      <c r="E843" s="1070"/>
      <c r="F843" s="1070"/>
      <c r="G843" s="281"/>
      <c r="H843" s="560"/>
      <c r="I843" s="267"/>
      <c r="J843" s="267"/>
      <c r="K843" s="267"/>
      <c r="L843" s="267"/>
      <c r="M843" s="267"/>
      <c r="N843" s="267"/>
      <c r="O843" s="395"/>
      <c r="P843" s="395"/>
      <c r="Q843" s="395"/>
      <c r="R843" s="158"/>
      <c r="S843" s="403"/>
    </row>
    <row r="844" spans="3:19">
      <c r="D844" s="611" t="s">
        <v>1301</v>
      </c>
      <c r="E844" s="86"/>
      <c r="F844" s="395"/>
      <c r="G844" s="395"/>
      <c r="H844" s="395"/>
      <c r="I844" s="395"/>
      <c r="J844" s="395"/>
      <c r="K844" s="395"/>
      <c r="L844" s="395"/>
      <c r="M844" s="395"/>
      <c r="N844" s="395"/>
      <c r="O844" s="395"/>
      <c r="P844" s="395"/>
      <c r="Q844" s="395"/>
      <c r="R844" s="158"/>
      <c r="S844" s="403"/>
    </row>
    <row r="845" spans="3:19">
      <c r="D845" s="611"/>
      <c r="E845" s="86"/>
      <c r="F845" s="395"/>
      <c r="G845" s="395"/>
      <c r="H845" s="395"/>
      <c r="I845" s="395"/>
      <c r="J845" s="395"/>
      <c r="K845" s="395"/>
      <c r="L845" s="395"/>
      <c r="M845" s="395"/>
      <c r="N845" s="395"/>
      <c r="O845" s="395"/>
      <c r="P845" s="395"/>
      <c r="Q845" s="395"/>
      <c r="R845" s="158"/>
      <c r="S845" s="403"/>
    </row>
    <row r="846" spans="3:19">
      <c r="D846" s="611"/>
      <c r="E846" s="86"/>
      <c r="F846" s="395"/>
      <c r="G846" s="395"/>
      <c r="H846" s="395"/>
      <c r="I846" s="395"/>
      <c r="J846" s="395"/>
      <c r="K846" s="395"/>
      <c r="L846" s="395"/>
      <c r="M846" s="395"/>
      <c r="N846" s="395"/>
      <c r="O846" s="395"/>
      <c r="P846" s="395"/>
      <c r="Q846" s="395"/>
      <c r="R846" s="158"/>
      <c r="S846" s="403"/>
    </row>
    <row r="847" spans="3:19">
      <c r="D847" s="611"/>
      <c r="E847" s="1190" t="s">
        <v>1302</v>
      </c>
      <c r="F847" s="1190"/>
      <c r="G847" s="1190"/>
      <c r="H847" s="1190"/>
      <c r="I847" s="1190"/>
      <c r="J847" s="1190"/>
      <c r="K847" s="237"/>
      <c r="L847" s="237"/>
      <c r="M847" s="237"/>
      <c r="N847" s="237"/>
      <c r="O847" s="237"/>
      <c r="P847" s="237"/>
      <c r="Q847" s="237"/>
      <c r="R847" s="237"/>
      <c r="S847" s="237"/>
    </row>
    <row r="848" spans="3:19">
      <c r="D848" s="611"/>
      <c r="E848" s="1077" t="s">
        <v>783</v>
      </c>
      <c r="F848" s="1077"/>
      <c r="G848" s="1077"/>
      <c r="H848" s="1077"/>
      <c r="I848" s="1077"/>
      <c r="J848" s="1077"/>
      <c r="K848" s="237"/>
      <c r="L848" s="237"/>
      <c r="M848" s="237"/>
      <c r="N848" s="237"/>
      <c r="O848" s="237"/>
      <c r="P848" s="237"/>
      <c r="Q848" s="237"/>
      <c r="R848" s="237"/>
      <c r="S848" s="237"/>
    </row>
    <row r="849" spans="3:19">
      <c r="D849" s="611"/>
      <c r="E849" s="238"/>
      <c r="F849" s="237"/>
      <c r="G849" s="237"/>
      <c r="H849" s="237"/>
      <c r="I849" s="237"/>
      <c r="J849" s="239"/>
      <c r="K849" s="237"/>
      <c r="L849" s="1191" t="s">
        <v>784</v>
      </c>
      <c r="M849" s="1192"/>
      <c r="N849" s="1193"/>
      <c r="O849" s="237"/>
      <c r="P849" s="1191" t="s">
        <v>1265</v>
      </c>
      <c r="Q849" s="1192"/>
      <c r="R849" s="1193"/>
      <c r="S849" s="262"/>
    </row>
    <row r="850" spans="3:19">
      <c r="D850" s="611"/>
      <c r="E850" s="552" t="s">
        <v>930</v>
      </c>
      <c r="F850" s="617">
        <v>0</v>
      </c>
      <c r="G850" s="550" t="s">
        <v>118</v>
      </c>
      <c r="H850" s="237"/>
      <c r="I850" s="237"/>
      <c r="J850" s="239"/>
      <c r="K850" s="237"/>
      <c r="L850" s="240" t="s">
        <v>785</v>
      </c>
      <c r="M850" s="241" t="s">
        <v>786</v>
      </c>
      <c r="N850" s="242" t="s">
        <v>787</v>
      </c>
      <c r="O850" s="237"/>
      <c r="P850" s="238" t="s">
        <v>788</v>
      </c>
      <c r="Q850" s="613">
        <v>0.85</v>
      </c>
      <c r="R850" s="551" t="s">
        <v>0</v>
      </c>
    </row>
    <row r="851" spans="3:19">
      <c r="D851" s="611"/>
      <c r="E851" s="621" t="s">
        <v>813</v>
      </c>
      <c r="F851" s="617">
        <v>814</v>
      </c>
      <c r="G851" s="550" t="s">
        <v>0</v>
      </c>
      <c r="H851" s="237"/>
      <c r="I851" s="237"/>
      <c r="J851" s="239"/>
      <c r="K851" s="237"/>
      <c r="L851" s="243">
        <v>2</v>
      </c>
      <c r="M851" s="244">
        <v>2</v>
      </c>
      <c r="N851" s="245">
        <v>1.5</v>
      </c>
      <c r="O851" s="237"/>
      <c r="P851" s="238" t="s">
        <v>789</v>
      </c>
      <c r="Q851" s="246">
        <v>1.5</v>
      </c>
      <c r="R851" s="551" t="s">
        <v>0</v>
      </c>
    </row>
    <row r="852" spans="3:19" ht="25.5">
      <c r="D852" s="611"/>
      <c r="E852" s="621" t="s">
        <v>814</v>
      </c>
      <c r="F852" s="617">
        <v>209</v>
      </c>
      <c r="G852" s="550" t="s">
        <v>0</v>
      </c>
      <c r="H852" s="237"/>
      <c r="I852" s="237"/>
      <c r="J852" s="239"/>
      <c r="K852" s="237"/>
      <c r="L852" s="260"/>
      <c r="M852" s="260"/>
      <c r="N852" s="260"/>
      <c r="O852" s="237"/>
      <c r="P852" s="247"/>
      <c r="Q852" s="619"/>
      <c r="R852" s="620"/>
      <c r="S852" s="550"/>
    </row>
    <row r="853" spans="3:19" ht="25.5">
      <c r="D853" s="611"/>
      <c r="E853" s="621" t="s">
        <v>815</v>
      </c>
      <c r="F853" s="617">
        <v>127</v>
      </c>
      <c r="G853" s="550" t="s">
        <v>0</v>
      </c>
      <c r="H853" s="237"/>
      <c r="I853" s="237"/>
      <c r="J853" s="239"/>
      <c r="K853" s="237"/>
      <c r="L853" s="260"/>
      <c r="M853" s="260"/>
      <c r="N853" s="260"/>
      <c r="O853" s="237"/>
      <c r="P853" s="237"/>
      <c r="Q853" s="246"/>
      <c r="R853" s="246"/>
      <c r="S853" s="550"/>
    </row>
    <row r="854" spans="3:19">
      <c r="D854" s="611"/>
      <c r="E854" s="553" t="s">
        <v>790</v>
      </c>
      <c r="F854" s="618">
        <v>0.15</v>
      </c>
      <c r="G854" s="248" t="s">
        <v>0</v>
      </c>
      <c r="H854" s="249"/>
      <c r="I854" s="249"/>
      <c r="J854" s="250"/>
      <c r="K854" s="237"/>
      <c r="L854" s="246"/>
      <c r="M854" s="246"/>
      <c r="N854" s="246"/>
      <c r="O854" s="237"/>
      <c r="P854" s="237"/>
      <c r="Q854" s="237"/>
      <c r="R854" s="237"/>
      <c r="S854" s="237"/>
    </row>
    <row r="855" spans="3:19">
      <c r="D855" s="611"/>
      <c r="E855" s="237"/>
      <c r="F855" s="251"/>
      <c r="G855" s="550"/>
      <c r="H855" s="237"/>
      <c r="I855" s="237"/>
      <c r="J855" s="237"/>
      <c r="K855" s="237"/>
      <c r="L855" s="246"/>
      <c r="M855" s="246"/>
      <c r="N855" s="246"/>
      <c r="O855" s="237"/>
      <c r="P855" s="237"/>
      <c r="Q855" s="237"/>
      <c r="R855" s="237"/>
      <c r="S855" s="237"/>
    </row>
    <row r="856" spans="3:19">
      <c r="D856" s="611"/>
      <c r="E856" s="262" t="s">
        <v>816</v>
      </c>
      <c r="F856" s="261">
        <f>F851+F852+F853</f>
        <v>1150</v>
      </c>
      <c r="G856" s="263" t="s">
        <v>0</v>
      </c>
      <c r="H856" s="237"/>
      <c r="I856" s="237"/>
      <c r="J856" s="237"/>
      <c r="K856" s="237"/>
      <c r="L856" s="246"/>
      <c r="M856" s="246"/>
      <c r="N856" s="246"/>
      <c r="O856" s="237"/>
      <c r="P856" s="1194"/>
      <c r="Q856" s="1194"/>
      <c r="R856" s="549"/>
      <c r="S856" s="617"/>
    </row>
    <row r="857" spans="3:19">
      <c r="D857" s="611"/>
      <c r="E857" s="237"/>
      <c r="F857" s="251"/>
      <c r="G857" s="550"/>
      <c r="H857" s="237"/>
      <c r="I857" s="237"/>
      <c r="J857" s="237"/>
      <c r="K857" s="237"/>
      <c r="L857" s="246"/>
      <c r="M857" s="246"/>
      <c r="N857" s="246"/>
      <c r="O857" s="237"/>
      <c r="P857" s="237"/>
      <c r="Q857" s="241"/>
      <c r="R857" s="241"/>
      <c r="S857" s="237"/>
    </row>
    <row r="858" spans="3:19">
      <c r="D858" s="611"/>
      <c r="E858" s="86"/>
      <c r="F858" s="395"/>
      <c r="G858" s="395"/>
      <c r="H858" s="395"/>
      <c r="I858" s="395"/>
      <c r="J858" s="395"/>
      <c r="K858" s="395"/>
      <c r="L858" s="395"/>
      <c r="M858" s="395"/>
      <c r="N858" s="395"/>
      <c r="O858" s="395"/>
      <c r="P858" s="395"/>
      <c r="Q858" s="395"/>
      <c r="R858" s="158"/>
      <c r="S858" s="403"/>
    </row>
    <row r="859" spans="3:19">
      <c r="C859" s="205" t="s">
        <v>1230</v>
      </c>
      <c r="D859" s="609" t="s">
        <v>781</v>
      </c>
      <c r="E859" s="86"/>
      <c r="F859" s="395"/>
      <c r="G859" s="395"/>
      <c r="H859" s="395"/>
      <c r="I859" s="395"/>
      <c r="J859" s="395"/>
      <c r="K859" s="395"/>
      <c r="L859" s="395"/>
      <c r="M859" s="395"/>
      <c r="N859" s="395"/>
      <c r="O859" s="395"/>
      <c r="P859" s="395"/>
      <c r="Q859" s="395"/>
      <c r="R859" s="158"/>
      <c r="S859" s="403"/>
    </row>
    <row r="860" spans="3:19">
      <c r="C860" s="205"/>
      <c r="D860" s="609"/>
      <c r="E860" s="86"/>
      <c r="F860" s="395"/>
      <c r="G860" s="395"/>
      <c r="H860" s="395"/>
      <c r="I860" s="395"/>
      <c r="J860" s="395"/>
      <c r="K860" s="395"/>
      <c r="L860" s="395"/>
      <c r="M860" s="395"/>
      <c r="N860" s="395"/>
      <c r="O860" s="395"/>
      <c r="P860" s="395"/>
      <c r="Q860" s="395"/>
      <c r="R860" s="158"/>
      <c r="S860" s="403"/>
    </row>
    <row r="861" spans="3:19">
      <c r="D861" s="576" t="s">
        <v>1231</v>
      </c>
      <c r="E861" s="86" t="s">
        <v>782</v>
      </c>
      <c r="F861" s="395"/>
      <c r="G861" s="395"/>
      <c r="H861" s="395"/>
      <c r="I861" s="395"/>
      <c r="J861" s="395"/>
      <c r="K861" s="395"/>
      <c r="L861" s="395"/>
      <c r="M861" s="395"/>
      <c r="N861" s="395"/>
      <c r="O861" s="395"/>
      <c r="P861" s="395"/>
      <c r="Q861" s="395"/>
      <c r="R861" s="158"/>
      <c r="S861" s="403"/>
    </row>
    <row r="862" spans="3:19">
      <c r="D862" s="609"/>
      <c r="E862" s="86" t="s">
        <v>1232</v>
      </c>
      <c r="F862" s="395"/>
      <c r="G862" s="395"/>
      <c r="H862" s="395"/>
      <c r="I862" s="395"/>
      <c r="J862" s="395"/>
      <c r="K862" s="395"/>
      <c r="L862" s="395"/>
      <c r="M862" s="395"/>
      <c r="N862" s="395"/>
      <c r="O862" s="395"/>
      <c r="P862" s="395"/>
      <c r="Q862" s="395"/>
      <c r="R862" s="157">
        <f>SUM(F851:F853)</f>
        <v>1150</v>
      </c>
      <c r="S862" s="11" t="s">
        <v>0</v>
      </c>
    </row>
    <row r="863" spans="3:19">
      <c r="D863" s="609"/>
      <c r="E863" s="86"/>
      <c r="F863" s="395"/>
      <c r="G863" s="395"/>
      <c r="H863" s="395"/>
      <c r="I863" s="395"/>
      <c r="J863" s="395"/>
      <c r="K863" s="395"/>
      <c r="L863" s="395"/>
      <c r="M863" s="395"/>
      <c r="N863" s="395"/>
      <c r="O863" s="395"/>
      <c r="P863" s="395"/>
      <c r="Q863" s="395"/>
      <c r="R863" s="158"/>
      <c r="S863" s="403"/>
    </row>
    <row r="864" spans="3:19">
      <c r="D864" s="609"/>
      <c r="E864" s="86"/>
      <c r="F864" s="395"/>
      <c r="G864" s="395"/>
      <c r="H864" s="395"/>
      <c r="I864" s="395"/>
      <c r="J864" s="395"/>
      <c r="K864" s="395"/>
      <c r="L864" s="395"/>
      <c r="M864" s="395"/>
      <c r="N864" s="395"/>
      <c r="O864" s="395"/>
      <c r="P864" s="395"/>
      <c r="Q864" s="395"/>
      <c r="R864" s="158"/>
      <c r="S864" s="403"/>
    </row>
    <row r="865" spans="4:19">
      <c r="D865" s="576" t="s">
        <v>1233</v>
      </c>
      <c r="E865" s="44" t="s">
        <v>37</v>
      </c>
      <c r="F865" s="443"/>
      <c r="G865" s="443"/>
      <c r="H865" s="443"/>
      <c r="I865" s="443"/>
      <c r="J865" s="443"/>
      <c r="K865" s="443"/>
      <c r="L865" s="443"/>
      <c r="M865" s="443"/>
      <c r="N865" s="443"/>
      <c r="O865" s="443"/>
      <c r="P865" s="443"/>
      <c r="Q865" s="443"/>
      <c r="R865" s="158"/>
    </row>
    <row r="866" spans="4:19">
      <c r="F866" s="982" t="s">
        <v>191</v>
      </c>
      <c r="G866" s="983"/>
      <c r="H866" s="983"/>
      <c r="I866" s="983"/>
      <c r="J866" s="983"/>
      <c r="K866" s="995"/>
      <c r="L866" s="997" t="s">
        <v>192</v>
      </c>
      <c r="M866" s="999">
        <v>12</v>
      </c>
      <c r="N866" s="1001" t="s">
        <v>193</v>
      </c>
    </row>
    <row r="867" spans="4:19">
      <c r="F867" s="984"/>
      <c r="G867" s="985"/>
      <c r="H867" s="985"/>
      <c r="I867" s="985"/>
      <c r="J867" s="985"/>
      <c r="K867" s="996"/>
      <c r="L867" s="998"/>
      <c r="M867" s="1000"/>
      <c r="N867" s="1002"/>
    </row>
    <row r="869" spans="4:19">
      <c r="F869" s="974" t="s">
        <v>194</v>
      </c>
      <c r="G869" s="975"/>
      <c r="H869" s="975"/>
      <c r="I869" s="975"/>
      <c r="J869" s="976"/>
      <c r="K869" s="982" t="s">
        <v>1234</v>
      </c>
      <c r="L869" s="983"/>
      <c r="M869" s="983"/>
      <c r="N869" s="983"/>
      <c r="O869" s="983"/>
      <c r="P869" s="983"/>
      <c r="Q869" s="995"/>
      <c r="R869" s="136"/>
      <c r="S869" s="11"/>
    </row>
    <row r="870" spans="4:19">
      <c r="F870" s="10"/>
      <c r="G870" s="10"/>
      <c r="H870" s="10"/>
      <c r="I870" s="10"/>
      <c r="J870" s="10"/>
      <c r="K870" s="10"/>
      <c r="L870" s="10"/>
      <c r="M870" s="10"/>
      <c r="N870" s="10"/>
      <c r="O870" s="10"/>
      <c r="P870" s="10"/>
      <c r="Q870" s="10"/>
      <c r="R870" s="11"/>
      <c r="S870" s="11"/>
    </row>
    <row r="871" spans="4:19">
      <c r="F871" s="10"/>
      <c r="G871" s="10"/>
      <c r="H871" s="10"/>
      <c r="I871" s="10"/>
      <c r="J871" s="10"/>
      <c r="K871" s="982" t="s">
        <v>1182</v>
      </c>
      <c r="L871" s="983"/>
      <c r="M871" s="983"/>
      <c r="N871" s="983"/>
      <c r="O871" s="983"/>
      <c r="P871" s="983"/>
      <c r="Q871" s="995"/>
      <c r="R871" s="136"/>
      <c r="S871" s="136"/>
    </row>
    <row r="872" spans="4:19">
      <c r="F872" s="10"/>
      <c r="G872" s="10"/>
      <c r="H872" s="10"/>
      <c r="I872" s="10"/>
      <c r="J872" s="10"/>
      <c r="K872" s="1068"/>
      <c r="L872" s="973"/>
      <c r="M872" s="973"/>
      <c r="N872" s="973"/>
      <c r="O872" s="973"/>
      <c r="P872" s="973"/>
      <c r="Q872" s="1069"/>
      <c r="R872" s="157">
        <f>(2*(SUM(F851)/M866))</f>
        <v>135.66666666666666</v>
      </c>
      <c r="S872" s="156" t="s">
        <v>0</v>
      </c>
    </row>
    <row r="873" spans="4:19">
      <c r="F873" s="10"/>
      <c r="G873" s="10"/>
      <c r="H873" s="10"/>
      <c r="I873" s="10"/>
      <c r="J873" s="10"/>
      <c r="K873" s="984"/>
      <c r="L873" s="985"/>
      <c r="M873" s="985"/>
      <c r="N873" s="985"/>
      <c r="O873" s="985"/>
      <c r="P873" s="985"/>
      <c r="Q873" s="996"/>
      <c r="R873" s="11"/>
      <c r="S873" s="11"/>
    </row>
    <row r="874" spans="4:19">
      <c r="F874" s="10"/>
      <c r="G874" s="10"/>
      <c r="H874" s="10"/>
      <c r="I874" s="10"/>
      <c r="J874" s="10"/>
      <c r="K874" s="982"/>
      <c r="L874" s="983"/>
      <c r="M874" s="983"/>
      <c r="N874" s="983"/>
      <c r="O874" s="983"/>
      <c r="P874" s="983"/>
      <c r="Q874" s="983"/>
      <c r="R874" s="11"/>
      <c r="S874" s="11"/>
    </row>
    <row r="875" spans="4:19">
      <c r="D875" s="31" t="s">
        <v>1235</v>
      </c>
      <c r="E875" s="44" t="s">
        <v>36</v>
      </c>
    </row>
    <row r="876" spans="4:19">
      <c r="D876" s="31"/>
      <c r="E876" s="44"/>
      <c r="F876" s="982" t="s">
        <v>191</v>
      </c>
      <c r="G876" s="983"/>
      <c r="H876" s="983"/>
      <c r="I876" s="983"/>
      <c r="J876" s="983"/>
      <c r="K876" s="995"/>
      <c r="L876" s="997" t="s">
        <v>192</v>
      </c>
      <c r="M876" s="999">
        <v>12</v>
      </c>
      <c r="N876" s="1001" t="s">
        <v>193</v>
      </c>
    </row>
    <row r="877" spans="4:19">
      <c r="D877" s="31"/>
      <c r="E877" s="44"/>
      <c r="F877" s="984"/>
      <c r="G877" s="985"/>
      <c r="H877" s="985"/>
      <c r="I877" s="985"/>
      <c r="J877" s="985"/>
      <c r="K877" s="996"/>
      <c r="L877" s="998"/>
      <c r="M877" s="1000"/>
      <c r="N877" s="1002"/>
    </row>
    <row r="878" spans="4:19">
      <c r="D878" s="31"/>
      <c r="E878" s="44"/>
    </row>
    <row r="879" spans="4:19">
      <c r="D879" s="31"/>
      <c r="E879" s="44"/>
      <c r="F879" s="974" t="s">
        <v>194</v>
      </c>
      <c r="G879" s="975"/>
      <c r="H879" s="975"/>
      <c r="I879" s="975"/>
      <c r="J879" s="976"/>
      <c r="K879" s="982" t="s">
        <v>195</v>
      </c>
      <c r="L879" s="983"/>
      <c r="M879" s="983"/>
      <c r="N879" s="983"/>
      <c r="O879" s="983"/>
      <c r="P879" s="983"/>
      <c r="Q879" s="995"/>
      <c r="R879" s="136"/>
      <c r="S879" s="11"/>
    </row>
    <row r="880" spans="4:19">
      <c r="D880" s="31"/>
      <c r="E880" s="44"/>
      <c r="F880" s="10"/>
      <c r="G880" s="10"/>
      <c r="H880" s="10"/>
      <c r="I880" s="10"/>
      <c r="J880" s="10"/>
      <c r="K880" s="10"/>
      <c r="L880" s="10"/>
      <c r="M880" s="10"/>
      <c r="N880" s="10"/>
      <c r="O880" s="10"/>
      <c r="P880" s="10"/>
      <c r="Q880" s="10"/>
      <c r="R880" s="11"/>
      <c r="S880" s="11"/>
    </row>
    <row r="881" spans="3:21">
      <c r="F881" s="10"/>
      <c r="G881" s="10"/>
      <c r="H881" s="10"/>
      <c r="I881" s="10"/>
      <c r="J881" s="10"/>
      <c r="K881" s="982" t="s">
        <v>1182</v>
      </c>
      <c r="L881" s="983"/>
      <c r="M881" s="983"/>
      <c r="N881" s="983"/>
      <c r="O881" s="983"/>
      <c r="P881" s="983"/>
      <c r="Q881" s="995"/>
      <c r="R881" s="136"/>
      <c r="S881" s="136"/>
    </row>
    <row r="882" spans="3:21">
      <c r="F882" s="10"/>
      <c r="G882" s="10"/>
      <c r="H882" s="10"/>
      <c r="I882" s="10"/>
      <c r="J882" s="10"/>
      <c r="K882" s="1068"/>
      <c r="L882" s="973"/>
      <c r="M882" s="973"/>
      <c r="N882" s="973"/>
      <c r="O882" s="973"/>
      <c r="P882" s="973"/>
      <c r="Q882" s="1069"/>
      <c r="R882" s="157">
        <f>(2*(SUM(F851)/M876))</f>
        <v>135.66666666666666</v>
      </c>
      <c r="S882" s="156" t="s">
        <v>0</v>
      </c>
    </row>
    <row r="883" spans="3:21">
      <c r="F883" s="10"/>
      <c r="G883" s="10"/>
      <c r="H883" s="10"/>
      <c r="I883" s="10"/>
      <c r="J883" s="10"/>
      <c r="K883" s="1068"/>
      <c r="L883" s="973"/>
      <c r="M883" s="973"/>
      <c r="N883" s="973"/>
      <c r="O883" s="973"/>
      <c r="P883" s="973"/>
      <c r="Q883" s="1069"/>
      <c r="R883" s="158"/>
      <c r="S883" s="156"/>
    </row>
    <row r="884" spans="3:21">
      <c r="E884" s="472"/>
      <c r="F884" s="10"/>
      <c r="G884" s="10"/>
      <c r="H884" s="10"/>
      <c r="I884" s="10"/>
      <c r="J884" s="10"/>
      <c r="K884" s="1068"/>
      <c r="L884" s="973"/>
      <c r="M884" s="973"/>
      <c r="N884" s="973"/>
      <c r="O884" s="973"/>
      <c r="P884" s="973"/>
      <c r="Q884" s="1069"/>
      <c r="R884" s="158"/>
      <c r="S884" s="156"/>
    </row>
    <row r="885" spans="3:21">
      <c r="E885" s="472"/>
      <c r="F885" s="10"/>
      <c r="G885" s="10"/>
      <c r="H885" s="10"/>
      <c r="I885" s="10"/>
      <c r="J885" s="10"/>
      <c r="K885" s="1068"/>
      <c r="L885" s="973"/>
      <c r="M885" s="973"/>
      <c r="N885" s="973"/>
      <c r="O885" s="973"/>
      <c r="P885" s="973"/>
      <c r="Q885" s="1069"/>
      <c r="R885" s="158"/>
      <c r="S885" s="156"/>
    </row>
    <row r="886" spans="3:21">
      <c r="F886" s="10"/>
      <c r="G886" s="10"/>
      <c r="H886" s="10"/>
      <c r="I886" s="10"/>
      <c r="J886" s="10"/>
      <c r="K886" s="1068"/>
      <c r="L886" s="973"/>
      <c r="M886" s="973"/>
      <c r="N886" s="973"/>
      <c r="O886" s="973"/>
      <c r="P886" s="973"/>
      <c r="Q886" s="1069"/>
      <c r="R886" s="158"/>
      <c r="S886" s="156"/>
    </row>
    <row r="887" spans="3:21">
      <c r="F887" s="10"/>
      <c r="G887" s="10"/>
      <c r="H887" s="10"/>
      <c r="I887" s="10"/>
      <c r="J887" s="10"/>
      <c r="K887" s="984"/>
      <c r="L887" s="985"/>
      <c r="M887" s="985"/>
      <c r="N887" s="985"/>
      <c r="O887" s="985"/>
      <c r="P887" s="985"/>
      <c r="Q887" s="996"/>
      <c r="R887" s="11"/>
      <c r="S887" s="11"/>
    </row>
    <row r="888" spans="3:21">
      <c r="R888" s="317"/>
      <c r="S888" s="317"/>
    </row>
    <row r="889" spans="3:21">
      <c r="F889" s="10"/>
      <c r="G889" s="10"/>
      <c r="H889" s="10"/>
      <c r="I889" s="10"/>
      <c r="J889" s="10"/>
      <c r="K889" s="546"/>
      <c r="L889" s="547"/>
      <c r="M889" s="547"/>
      <c r="N889" s="547"/>
      <c r="O889" s="547"/>
      <c r="P889" s="547"/>
      <c r="Q889" s="548"/>
      <c r="R889" s="11"/>
      <c r="S889" s="11"/>
    </row>
    <row r="890" spans="3:21">
      <c r="C890" s="132" t="s">
        <v>1236</v>
      </c>
      <c r="D890" s="396" t="s">
        <v>427</v>
      </c>
      <c r="F890" s="10"/>
      <c r="G890" s="10"/>
      <c r="H890" s="10"/>
      <c r="I890" s="10"/>
      <c r="J890" s="10"/>
      <c r="K890" s="546"/>
      <c r="L890" s="547"/>
      <c r="M890" s="547"/>
      <c r="N890" s="547"/>
      <c r="O890" s="547"/>
      <c r="P890" s="547"/>
      <c r="Q890" s="548"/>
      <c r="R890" s="11"/>
      <c r="S890" s="11"/>
    </row>
    <row r="891" spans="3:21">
      <c r="C891" s="612"/>
      <c r="D891" s="174"/>
      <c r="F891" s="86"/>
      <c r="G891" s="86"/>
      <c r="H891" s="86"/>
      <c r="I891" s="86"/>
      <c r="J891" s="86"/>
      <c r="K891" s="610"/>
      <c r="L891" s="610"/>
      <c r="M891" s="610"/>
      <c r="N891" s="610"/>
      <c r="O891" s="610"/>
      <c r="P891" s="610"/>
      <c r="Q891" s="610"/>
      <c r="R891" s="403"/>
      <c r="S891" s="403"/>
    </row>
    <row r="892" spans="3:21">
      <c r="C892" s="612"/>
      <c r="D892" s="614" t="s">
        <v>1240</v>
      </c>
      <c r="F892" s="86"/>
      <c r="G892" s="86"/>
      <c r="H892" s="86"/>
      <c r="I892" s="86"/>
      <c r="J892" s="86"/>
      <c r="K892" s="610"/>
      <c r="L892" s="610"/>
      <c r="M892" s="610"/>
      <c r="N892" s="610"/>
      <c r="O892" s="610"/>
      <c r="P892" s="610"/>
      <c r="Q892" s="610"/>
      <c r="R892" s="403"/>
      <c r="S892" s="403"/>
    </row>
    <row r="893" spans="3:21" ht="15" customHeight="1">
      <c r="C893" s="612"/>
      <c r="D893" s="174"/>
      <c r="F893" s="86"/>
      <c r="G893" s="86"/>
      <c r="H893" s="86"/>
      <c r="I893" s="86"/>
      <c r="J893" s="86"/>
      <c r="K893" s="610"/>
      <c r="L893" s="610"/>
      <c r="M893" s="610"/>
      <c r="N893" s="610"/>
      <c r="O893" s="610"/>
      <c r="P893" s="610"/>
      <c r="Q893" s="610"/>
      <c r="R893" s="403"/>
      <c r="S893" s="403"/>
    </row>
    <row r="894" spans="3:21">
      <c r="D894" s="31"/>
      <c r="E894" s="539" t="s">
        <v>178</v>
      </c>
      <c r="F894" s="539"/>
      <c r="G894" s="539"/>
      <c r="H894" s="539"/>
      <c r="I894" s="539"/>
      <c r="J894" s="539"/>
      <c r="K894" s="539"/>
      <c r="L894" s="539"/>
      <c r="M894" s="539"/>
      <c r="N894" s="539"/>
      <c r="O894" s="539"/>
      <c r="P894" s="539"/>
      <c r="Q894" s="539"/>
      <c r="R894" s="158"/>
      <c r="S894" s="403"/>
    </row>
    <row r="895" spans="3:21">
      <c r="D895" s="31"/>
      <c r="E895" s="86"/>
      <c r="F895" s="86"/>
      <c r="G895" s="86"/>
      <c r="H895" s="86"/>
      <c r="I895" s="86"/>
      <c r="J895" s="86"/>
      <c r="K895" s="86"/>
      <c r="L895" s="86"/>
      <c r="M895" s="86"/>
      <c r="N895" s="86"/>
      <c r="O895" s="86"/>
      <c r="P895" s="86"/>
      <c r="Q895" s="86"/>
      <c r="R895" s="158"/>
      <c r="S895" s="403"/>
    </row>
    <row r="896" spans="3:21">
      <c r="D896" s="31"/>
      <c r="E896" s="86" t="s">
        <v>1237</v>
      </c>
      <c r="F896" s="86"/>
      <c r="G896" s="86"/>
      <c r="H896" s="86"/>
      <c r="I896" s="86"/>
      <c r="J896" s="86"/>
      <c r="K896" s="86"/>
      <c r="L896" s="86"/>
      <c r="M896" s="86"/>
      <c r="N896" s="86"/>
      <c r="O896" s="86"/>
      <c r="P896" s="86"/>
      <c r="Q896" s="86"/>
      <c r="R896" s="157">
        <f>ROUND(SUM(F851)/70*10,0)</f>
        <v>116</v>
      </c>
      <c r="S896" s="156" t="s">
        <v>179</v>
      </c>
      <c r="T896" s="170"/>
      <c r="U896" s="170"/>
    </row>
    <row r="897" spans="4:22">
      <c r="F897" s="10"/>
      <c r="G897" s="10"/>
      <c r="H897" s="10"/>
      <c r="I897" s="10"/>
      <c r="J897" s="10"/>
      <c r="K897" s="546"/>
      <c r="L897" s="547"/>
      <c r="M897" s="547"/>
      <c r="N897" s="547"/>
      <c r="O897" s="547"/>
      <c r="P897" s="547"/>
      <c r="Q897" s="548"/>
      <c r="R897" s="11"/>
      <c r="S897" s="11"/>
    </row>
    <row r="898" spans="4:22">
      <c r="F898" s="10"/>
      <c r="G898" s="10"/>
      <c r="H898" s="10"/>
      <c r="I898" s="10"/>
      <c r="J898" s="10"/>
      <c r="K898" s="546"/>
      <c r="L898" s="547"/>
      <c r="M898" s="547"/>
      <c r="N898" s="547"/>
      <c r="O898" s="547"/>
      <c r="P898" s="547"/>
      <c r="Q898" s="548"/>
      <c r="R898" s="11"/>
      <c r="S898" s="11"/>
    </row>
    <row r="899" spans="4:22">
      <c r="D899" s="276"/>
      <c r="E899" s="8" t="s">
        <v>795</v>
      </c>
      <c r="F899" s="559"/>
      <c r="G899" s="281"/>
      <c r="H899" s="560"/>
      <c r="I899" s="284"/>
      <c r="J899" s="267"/>
      <c r="K899" s="276"/>
      <c r="L899" s="276"/>
      <c r="M899" s="276"/>
      <c r="N899" s="281"/>
      <c r="O899" s="395"/>
      <c r="P899" s="395"/>
      <c r="Q899" s="395"/>
      <c r="R899" s="158"/>
      <c r="S899" s="403"/>
    </row>
    <row r="900" spans="4:22">
      <c r="D900" s="282"/>
      <c r="E900" s="8"/>
      <c r="F900" s="554"/>
      <c r="G900" s="281"/>
      <c r="H900" s="560"/>
      <c r="I900" s="284"/>
      <c r="J900" s="267"/>
      <c r="K900" s="977"/>
      <c r="L900" s="977"/>
      <c r="M900" s="276"/>
      <c r="N900" s="281"/>
      <c r="O900" s="395"/>
      <c r="P900" s="395"/>
      <c r="Q900" s="395"/>
      <c r="R900" s="158"/>
      <c r="S900" s="403"/>
      <c r="U900" s="472" t="s">
        <v>1216</v>
      </c>
    </row>
    <row r="901" spans="4:22">
      <c r="D901" s="282"/>
      <c r="E901" s="974" t="s">
        <v>1270</v>
      </c>
      <c r="F901" s="975"/>
      <c r="G901" s="975"/>
      <c r="H901" s="975"/>
      <c r="I901" s="975"/>
      <c r="J901" s="975"/>
      <c r="K901" s="975"/>
      <c r="L901" s="975"/>
      <c r="M901" s="975"/>
      <c r="N901" s="975"/>
      <c r="O901" s="975"/>
      <c r="P901" s="975"/>
      <c r="Q901" s="976"/>
      <c r="R901" s="157">
        <f>F851*Q850*U901</f>
        <v>69.19</v>
      </c>
      <c r="S901" s="156" t="s">
        <v>18</v>
      </c>
      <c r="U901" s="236">
        <v>0.1</v>
      </c>
      <c r="V901" s="534" t="s">
        <v>0</v>
      </c>
    </row>
    <row r="902" spans="4:22">
      <c r="F902" s="10"/>
      <c r="G902" s="10"/>
      <c r="H902" s="10"/>
      <c r="I902" s="10"/>
      <c r="J902" s="10"/>
      <c r="K902" s="546"/>
      <c r="L902" s="547"/>
      <c r="M902" s="547"/>
      <c r="N902" s="547"/>
      <c r="O902" s="547"/>
      <c r="P902" s="547"/>
      <c r="Q902" s="548"/>
      <c r="R902" s="11"/>
      <c r="S902" s="11"/>
    </row>
    <row r="903" spans="4:22">
      <c r="F903" s="10"/>
      <c r="G903" s="10"/>
      <c r="H903" s="10"/>
      <c r="I903" s="10"/>
      <c r="J903" s="10"/>
      <c r="K903" s="546"/>
      <c r="L903" s="547"/>
      <c r="M903" s="547"/>
      <c r="N903" s="547"/>
      <c r="O903" s="547"/>
      <c r="P903" s="547"/>
      <c r="Q903" s="548"/>
      <c r="R903" s="11"/>
      <c r="S903" s="11"/>
    </row>
    <row r="904" spans="4:22">
      <c r="D904" s="31"/>
      <c r="E904" s="86" t="s">
        <v>1283</v>
      </c>
      <c r="F904" s="10"/>
      <c r="G904" s="10"/>
      <c r="H904" s="10"/>
      <c r="I904" s="10"/>
      <c r="J904" s="10"/>
      <c r="K904" s="546"/>
      <c r="L904" s="547"/>
      <c r="M904" s="547"/>
      <c r="N904" s="547"/>
      <c r="O904" s="547"/>
      <c r="P904" s="547"/>
      <c r="Q904" s="548"/>
      <c r="R904" s="11"/>
      <c r="S904" s="11"/>
    </row>
    <row r="905" spans="4:22">
      <c r="F905" s="10"/>
      <c r="G905" s="10"/>
      <c r="H905" s="10"/>
      <c r="I905" s="10"/>
      <c r="J905" s="10"/>
      <c r="K905" s="546"/>
      <c r="L905" s="547"/>
      <c r="M905" s="547"/>
      <c r="N905" s="547"/>
      <c r="O905" s="547"/>
      <c r="P905" s="547"/>
      <c r="Q905" s="548"/>
      <c r="R905" s="11"/>
      <c r="S905" s="11"/>
    </row>
    <row r="906" spans="4:22">
      <c r="E906" s="554"/>
      <c r="F906" s="86" t="s">
        <v>198</v>
      </c>
      <c r="G906" s="86"/>
      <c r="H906" s="86"/>
      <c r="I906" s="86"/>
      <c r="J906" s="86"/>
      <c r="K906" s="86"/>
      <c r="L906" s="86" t="s">
        <v>192</v>
      </c>
      <c r="M906" s="171">
        <v>12</v>
      </c>
      <c r="N906" s="172" t="s">
        <v>193</v>
      </c>
      <c r="O906" s="395"/>
      <c r="P906" s="395"/>
      <c r="Q906" s="395"/>
      <c r="R906" s="158"/>
      <c r="S906" s="403"/>
    </row>
    <row r="907" spans="4:22">
      <c r="E907" s="554"/>
      <c r="F907" s="86"/>
      <c r="G907" s="86"/>
      <c r="H907" s="86"/>
      <c r="I907" s="86"/>
      <c r="J907" s="86"/>
      <c r="K907" s="86"/>
      <c r="L907" s="86"/>
      <c r="M907" s="86"/>
      <c r="N907" s="86"/>
      <c r="O907" s="395"/>
      <c r="P907" s="395"/>
      <c r="Q907" s="395"/>
      <c r="R907" s="158"/>
      <c r="S907" s="403"/>
    </row>
    <row r="908" spans="4:22">
      <c r="E908" s="554"/>
      <c r="F908" s="86" t="s">
        <v>199</v>
      </c>
      <c r="G908" s="86"/>
      <c r="H908" s="86"/>
      <c r="I908" s="86"/>
      <c r="J908" s="86"/>
      <c r="K908" s="86"/>
      <c r="L908" s="86" t="s">
        <v>192</v>
      </c>
      <c r="M908" s="536">
        <f>Q851</f>
        <v>1.5</v>
      </c>
      <c r="N908" s="172" t="s">
        <v>0</v>
      </c>
      <c r="O908" s="395"/>
      <c r="P908" s="395"/>
      <c r="Q908" s="395"/>
      <c r="R908" s="158"/>
      <c r="S908" s="403"/>
    </row>
    <row r="909" spans="4:22">
      <c r="E909" s="554"/>
      <c r="F909" s="554"/>
      <c r="G909" s="281"/>
      <c r="H909" s="560"/>
      <c r="I909" s="284"/>
      <c r="J909" s="276"/>
      <c r="K909" s="276"/>
      <c r="L909" s="276"/>
      <c r="M909" s="267"/>
      <c r="N909" s="267"/>
      <c r="O909" s="395"/>
      <c r="P909" s="395"/>
      <c r="Q909" s="395"/>
      <c r="R909" s="158"/>
      <c r="S909" s="403"/>
    </row>
    <row r="910" spans="4:22">
      <c r="E910" s="86" t="s">
        <v>1253</v>
      </c>
      <c r="F910" s="86"/>
      <c r="G910" s="86"/>
      <c r="H910" s="86"/>
      <c r="I910" s="86"/>
      <c r="J910" s="86"/>
      <c r="K910" s="86"/>
      <c r="L910" s="86"/>
      <c r="M910" s="86"/>
      <c r="N910" s="86"/>
      <c r="O910" s="86"/>
      <c r="P910" s="86"/>
      <c r="Q910" s="86"/>
      <c r="R910" s="159">
        <f>(((F851*M908)*2)/M906)</f>
        <v>203.5</v>
      </c>
      <c r="S910" s="156" t="s">
        <v>17</v>
      </c>
    </row>
    <row r="911" spans="4:22">
      <c r="F911" s="10"/>
      <c r="G911" s="10"/>
      <c r="H911" s="10"/>
      <c r="I911" s="10"/>
      <c r="J911" s="10"/>
      <c r="K911" s="546"/>
      <c r="L911" s="547"/>
      <c r="M911" s="547"/>
      <c r="N911" s="547"/>
      <c r="O911" s="547"/>
      <c r="P911" s="547"/>
      <c r="Q911" s="548"/>
      <c r="R911" s="11"/>
      <c r="S911" s="11"/>
    </row>
    <row r="912" spans="4:22">
      <c r="F912" s="10"/>
      <c r="G912" s="10"/>
      <c r="H912" s="10"/>
      <c r="I912" s="10"/>
      <c r="J912" s="10"/>
      <c r="K912" s="546"/>
      <c r="L912" s="547"/>
      <c r="M912" s="547"/>
      <c r="N912" s="547"/>
      <c r="O912" s="547"/>
      <c r="P912" s="547"/>
      <c r="Q912" s="548"/>
      <c r="R912" s="11"/>
      <c r="S912" s="11"/>
    </row>
    <row r="913" spans="3:22">
      <c r="D913" s="31"/>
      <c r="E913" s="472" t="s">
        <v>1254</v>
      </c>
      <c r="F913" s="10"/>
      <c r="G913" s="10"/>
      <c r="H913" s="10"/>
      <c r="I913" s="10"/>
      <c r="J913" s="10"/>
      <c r="K913" s="990"/>
      <c r="L913" s="991"/>
      <c r="M913" s="991"/>
      <c r="N913" s="991"/>
      <c r="O913" s="991"/>
      <c r="P913" s="991"/>
      <c r="Q913" s="992"/>
      <c r="R913" s="11"/>
      <c r="S913" s="11"/>
      <c r="U913" s="472" t="s">
        <v>1256</v>
      </c>
    </row>
    <row r="914" spans="3:22">
      <c r="D914" s="31"/>
      <c r="E914" s="472"/>
      <c r="F914" s="10"/>
      <c r="G914" s="10"/>
      <c r="H914" s="10"/>
      <c r="I914" s="10"/>
      <c r="J914" s="10"/>
      <c r="K914" s="615"/>
      <c r="L914" s="403"/>
      <c r="M914" s="403"/>
      <c r="N914" s="403"/>
      <c r="O914" s="403"/>
      <c r="P914" s="403"/>
      <c r="Q914" s="403"/>
      <c r="R914" s="403"/>
      <c r="S914" s="156"/>
      <c r="U914" s="472"/>
    </row>
    <row r="915" spans="3:22">
      <c r="E915" s="472" t="s">
        <v>1255</v>
      </c>
      <c r="F915" s="10"/>
      <c r="G915" s="10"/>
      <c r="H915" s="10"/>
      <c r="I915" s="10"/>
      <c r="J915" s="10"/>
      <c r="K915" s="982"/>
      <c r="L915" s="983"/>
      <c r="M915" s="983"/>
      <c r="N915" s="983"/>
      <c r="O915" s="983"/>
      <c r="P915" s="983"/>
      <c r="Q915" s="983"/>
      <c r="R915" s="159">
        <f>F851*Q850*U915</f>
        <v>69.19</v>
      </c>
      <c r="S915" s="156" t="s">
        <v>18</v>
      </c>
      <c r="U915" s="236">
        <v>0.1</v>
      </c>
      <c r="V915" s="534" t="s">
        <v>0</v>
      </c>
    </row>
    <row r="916" spans="3:22">
      <c r="F916" s="10"/>
      <c r="G916" s="10"/>
      <c r="H916" s="10"/>
      <c r="I916" s="10"/>
      <c r="J916" s="10"/>
      <c r="K916" s="984"/>
      <c r="L916" s="985"/>
      <c r="M916" s="985"/>
      <c r="N916" s="985"/>
      <c r="O916" s="985"/>
      <c r="P916" s="985"/>
      <c r="Q916" s="985"/>
    </row>
    <row r="917" spans="3:22">
      <c r="D917" s="609"/>
      <c r="E917" s="86"/>
      <c r="F917" s="395"/>
      <c r="G917" s="395"/>
      <c r="H917" s="395"/>
      <c r="I917" s="395"/>
      <c r="J917" s="395"/>
      <c r="K917" s="395"/>
      <c r="L917" s="395"/>
      <c r="M917" s="395"/>
      <c r="N917" s="395"/>
      <c r="O917" s="395"/>
      <c r="P917" s="395"/>
      <c r="Q917" s="395"/>
      <c r="R917" s="158"/>
      <c r="S917" s="403"/>
    </row>
    <row r="918" spans="3:22">
      <c r="D918" s="31"/>
      <c r="E918" s="86" t="s">
        <v>1399</v>
      </c>
      <c r="F918" s="86"/>
      <c r="G918" s="86"/>
      <c r="H918" s="86"/>
      <c r="I918" s="86"/>
      <c r="J918" s="86"/>
      <c r="K918" s="86"/>
      <c r="L918" s="86"/>
      <c r="M918" s="86"/>
      <c r="N918" s="86"/>
      <c r="O918" s="86"/>
      <c r="P918" s="86"/>
      <c r="Q918" s="86"/>
      <c r="R918" s="203"/>
      <c r="S918" s="403"/>
    </row>
    <row r="919" spans="3:22">
      <c r="D919" s="609"/>
      <c r="E919" s="86"/>
      <c r="F919" s="86"/>
      <c r="G919" s="86"/>
      <c r="H919" s="86"/>
      <c r="I919" s="86"/>
      <c r="J919" s="86"/>
      <c r="K919" s="86"/>
      <c r="L919" s="86"/>
      <c r="M919" s="86"/>
      <c r="N919" s="86"/>
      <c r="O919" s="86"/>
      <c r="P919" s="86"/>
      <c r="Q919" s="86"/>
      <c r="R919" s="203"/>
      <c r="S919" s="403"/>
      <c r="U919" s="616" t="s">
        <v>1258</v>
      </c>
    </row>
    <row r="920" spans="3:22">
      <c r="D920" s="609"/>
      <c r="E920" s="974" t="s">
        <v>1257</v>
      </c>
      <c r="F920" s="975"/>
      <c r="G920" s="975"/>
      <c r="H920" s="975"/>
      <c r="I920" s="975"/>
      <c r="J920" s="975"/>
      <c r="K920" s="975"/>
      <c r="L920" s="975"/>
      <c r="M920" s="975"/>
      <c r="N920" s="975"/>
      <c r="O920" s="975"/>
      <c r="P920" s="975"/>
      <c r="Q920" s="976"/>
      <c r="R920" s="157">
        <f>(F851*Q850*Q851)-U920</f>
        <v>1023.4654326373757</v>
      </c>
      <c r="S920" s="156" t="s">
        <v>18</v>
      </c>
      <c r="U920" s="535">
        <f>(PI()*(F854/2)^2)*F851</f>
        <v>14.384567362624265</v>
      </c>
      <c r="V920" s="534" t="s">
        <v>18</v>
      </c>
    </row>
    <row r="921" spans="3:22">
      <c r="D921" s="609"/>
      <c r="E921" s="86"/>
      <c r="F921" s="395"/>
      <c r="G921" s="395"/>
      <c r="H921" s="395"/>
      <c r="I921" s="395"/>
      <c r="J921" s="395"/>
      <c r="K921" s="395"/>
      <c r="L921" s="395"/>
      <c r="M921" s="395"/>
      <c r="N921" s="395"/>
      <c r="O921" s="395"/>
      <c r="P921" s="395"/>
      <c r="Q921" s="395"/>
      <c r="R921" s="158"/>
      <c r="S921" s="403"/>
    </row>
    <row r="922" spans="3:22">
      <c r="D922" s="609"/>
      <c r="E922" s="86"/>
      <c r="F922" s="395"/>
      <c r="G922" s="395"/>
      <c r="H922" s="395"/>
      <c r="I922" s="395"/>
      <c r="J922" s="395"/>
      <c r="K922" s="395"/>
      <c r="L922" s="395"/>
      <c r="M922" s="395"/>
      <c r="N922" s="395"/>
      <c r="O922" s="395"/>
      <c r="P922" s="395"/>
      <c r="Q922" s="395"/>
      <c r="R922" s="158"/>
      <c r="S922" s="403"/>
    </row>
    <row r="923" spans="3:22">
      <c r="D923" s="31"/>
      <c r="E923" s="173" t="s">
        <v>23</v>
      </c>
      <c r="F923" s="86"/>
      <c r="G923" s="86"/>
      <c r="H923" s="86"/>
      <c r="I923" s="86"/>
      <c r="J923" s="86"/>
      <c r="K923" s="86"/>
      <c r="L923" s="86"/>
      <c r="M923" s="86"/>
      <c r="N923" s="86"/>
      <c r="O923" s="86"/>
      <c r="P923" s="86"/>
      <c r="Q923" s="86"/>
      <c r="R923" s="158"/>
      <c r="S923" s="403"/>
    </row>
    <row r="924" spans="3:22">
      <c r="D924" s="609"/>
      <c r="E924" s="86"/>
      <c r="F924" s="86"/>
      <c r="G924" s="86"/>
      <c r="H924" s="86"/>
      <c r="I924" s="86"/>
      <c r="J924" s="86"/>
      <c r="K924" s="86"/>
      <c r="L924" s="86"/>
      <c r="M924" s="86"/>
      <c r="N924" s="86"/>
      <c r="O924" s="86"/>
      <c r="P924" s="86"/>
      <c r="Q924" s="86"/>
      <c r="R924" s="158"/>
      <c r="S924" s="403"/>
    </row>
    <row r="925" spans="3:22">
      <c r="D925" s="609"/>
      <c r="E925" s="986" t="s">
        <v>1259</v>
      </c>
      <c r="F925" s="987"/>
      <c r="G925" s="987"/>
      <c r="H925" s="987"/>
      <c r="I925" s="987"/>
      <c r="J925" s="987"/>
      <c r="K925" s="987"/>
      <c r="L925" s="987"/>
      <c r="M925" s="987"/>
      <c r="N925" s="987"/>
      <c r="O925" s="987"/>
      <c r="P925" s="987"/>
      <c r="Q925" s="988"/>
      <c r="R925" s="157">
        <f>U920</f>
        <v>14.384567362624265</v>
      </c>
      <c r="S925" s="156" t="s">
        <v>18</v>
      </c>
    </row>
    <row r="926" spans="3:22">
      <c r="D926" s="609"/>
      <c r="E926" s="395"/>
      <c r="F926" s="395"/>
      <c r="G926" s="395"/>
      <c r="H926" s="395"/>
      <c r="I926" s="395"/>
      <c r="J926" s="395"/>
      <c r="K926" s="395"/>
      <c r="L926" s="395"/>
      <c r="M926" s="395"/>
      <c r="N926" s="395"/>
      <c r="O926" s="395"/>
      <c r="P926" s="395"/>
      <c r="Q926" s="395"/>
      <c r="R926" s="158"/>
      <c r="S926" s="403"/>
    </row>
    <row r="927" spans="3:22">
      <c r="D927" s="609"/>
      <c r="E927" s="86"/>
      <c r="F927" s="395"/>
      <c r="G927" s="395"/>
      <c r="H927" s="395"/>
      <c r="I927" s="395"/>
      <c r="J927" s="395"/>
      <c r="K927" s="395"/>
      <c r="L927" s="395"/>
      <c r="M927" s="395"/>
      <c r="N927" s="395"/>
      <c r="O927" s="395"/>
      <c r="P927" s="395"/>
      <c r="Q927" s="395"/>
      <c r="R927" s="158"/>
      <c r="S927" s="403"/>
    </row>
    <row r="928" spans="3:22">
      <c r="C928" s="205"/>
      <c r="D928" s="609" t="s">
        <v>1264</v>
      </c>
      <c r="E928" s="86"/>
      <c r="F928" s="395"/>
      <c r="G928" s="395"/>
      <c r="H928" s="395"/>
      <c r="I928" s="395"/>
      <c r="J928" s="395"/>
      <c r="K928" s="395"/>
      <c r="L928" s="395"/>
      <c r="M928" s="395"/>
      <c r="N928" s="395"/>
      <c r="O928" s="395"/>
      <c r="P928" s="395"/>
      <c r="Q928" s="395"/>
      <c r="R928" s="158"/>
      <c r="S928" s="403"/>
    </row>
    <row r="929" spans="4:19">
      <c r="D929" s="609"/>
      <c r="E929" s="86"/>
      <c r="F929" s="395"/>
      <c r="G929" s="395"/>
      <c r="H929" s="395"/>
      <c r="I929" s="395"/>
      <c r="J929" s="395"/>
      <c r="K929" s="395"/>
      <c r="L929" s="395"/>
      <c r="M929" s="395"/>
      <c r="N929" s="395"/>
      <c r="O929" s="395"/>
      <c r="P929" s="395"/>
      <c r="Q929" s="395"/>
      <c r="R929" s="158"/>
      <c r="S929" s="403"/>
    </row>
    <row r="930" spans="4:19" ht="36">
      <c r="D930" s="1020" t="s">
        <v>102</v>
      </c>
      <c r="E930" s="1020"/>
      <c r="F930" s="1020"/>
      <c r="G930" s="1020"/>
      <c r="H930" s="1020"/>
      <c r="I930" s="1020"/>
      <c r="J930" s="1020"/>
      <c r="K930" s="1020"/>
      <c r="L930" s="1020"/>
      <c r="M930" s="1020"/>
      <c r="N930" s="395"/>
      <c r="O930" s="395"/>
      <c r="P930" s="395" t="s">
        <v>1260</v>
      </c>
      <c r="Q930" s="562">
        <v>70</v>
      </c>
      <c r="R930" s="158" t="s">
        <v>0</v>
      </c>
      <c r="S930" s="403"/>
    </row>
    <row r="931" spans="4:19">
      <c r="D931" s="1003" t="s">
        <v>103</v>
      </c>
      <c r="E931" s="1003"/>
      <c r="F931" s="1003"/>
      <c r="G931" s="1003"/>
      <c r="H931" s="1003"/>
      <c r="I931" s="1003" t="s">
        <v>1</v>
      </c>
      <c r="J931" s="1003"/>
      <c r="K931" s="1003"/>
      <c r="L931" s="1003"/>
      <c r="M931" s="1003"/>
      <c r="N931" s="395"/>
      <c r="O931" s="395"/>
      <c r="P931" s="395"/>
      <c r="Q931" s="395"/>
      <c r="R931" s="158"/>
      <c r="S931" s="403"/>
    </row>
    <row r="932" spans="4:19">
      <c r="D932" s="1006"/>
      <c r="E932" s="1006"/>
      <c r="F932" s="1006"/>
      <c r="G932" s="1006"/>
      <c r="H932" s="1006"/>
      <c r="I932" s="1006"/>
      <c r="J932" s="1006"/>
      <c r="K932" s="1006"/>
      <c r="L932" s="1006"/>
      <c r="M932" s="1006"/>
      <c r="N932" s="395"/>
      <c r="O932" s="395"/>
      <c r="P932" s="395"/>
      <c r="Q932" s="395"/>
      <c r="R932" s="158"/>
      <c r="S932" s="403"/>
    </row>
    <row r="933" spans="4:19">
      <c r="D933" s="544">
        <v>4</v>
      </c>
      <c r="E933" s="542" t="s">
        <v>108</v>
      </c>
      <c r="F933" s="993" t="s">
        <v>109</v>
      </c>
      <c r="G933" s="993"/>
      <c r="H933" s="993"/>
      <c r="I933" s="544">
        <f>($F$851/$Q$930)*D933</f>
        <v>46.514285714285712</v>
      </c>
      <c r="J933" s="542" t="s">
        <v>108</v>
      </c>
      <c r="K933" s="993" t="s">
        <v>109</v>
      </c>
      <c r="L933" s="993"/>
      <c r="M933" s="993"/>
      <c r="N933" s="395"/>
      <c r="O933" s="395"/>
      <c r="P933" s="395"/>
      <c r="Q933" s="395"/>
      <c r="R933" s="158"/>
      <c r="S933" s="403"/>
    </row>
    <row r="934" spans="4:19">
      <c r="D934" s="544">
        <v>8</v>
      </c>
      <c r="E934" s="542" t="s">
        <v>108</v>
      </c>
      <c r="F934" s="993" t="s">
        <v>110</v>
      </c>
      <c r="G934" s="993"/>
      <c r="H934" s="993"/>
      <c r="I934" s="544">
        <f>($F$851/$Q$930)*D934</f>
        <v>93.028571428571425</v>
      </c>
      <c r="J934" s="542" t="s">
        <v>108</v>
      </c>
      <c r="K934" s="993" t="s">
        <v>110</v>
      </c>
      <c r="L934" s="993"/>
      <c r="M934" s="993"/>
      <c r="N934" s="395"/>
      <c r="O934" s="395"/>
      <c r="P934" s="395"/>
      <c r="Q934" s="395"/>
      <c r="R934" s="158"/>
      <c r="S934" s="403"/>
    </row>
    <row r="935" spans="4:19">
      <c r="D935" s="544">
        <v>8</v>
      </c>
      <c r="E935" s="542" t="s">
        <v>108</v>
      </c>
      <c r="F935" s="993" t="s">
        <v>113</v>
      </c>
      <c r="G935" s="993"/>
      <c r="H935" s="993"/>
      <c r="I935" s="544">
        <f>8*2</f>
        <v>16</v>
      </c>
      <c r="J935" s="542" t="s">
        <v>108</v>
      </c>
      <c r="K935" s="993" t="s">
        <v>113</v>
      </c>
      <c r="L935" s="993"/>
      <c r="M935" s="993"/>
      <c r="N935" s="395"/>
      <c r="O935" s="973" t="s">
        <v>1284</v>
      </c>
      <c r="P935" s="973"/>
      <c r="Q935" s="395"/>
      <c r="R935" s="158"/>
      <c r="S935" s="403"/>
    </row>
    <row r="936" spans="4:19">
      <c r="D936" s="544">
        <v>8</v>
      </c>
      <c r="E936" s="542" t="s">
        <v>108</v>
      </c>
      <c r="F936" s="993" t="s">
        <v>1221</v>
      </c>
      <c r="G936" s="993"/>
      <c r="H936" s="993"/>
      <c r="I936" s="544">
        <f>8*2</f>
        <v>16</v>
      </c>
      <c r="J936" s="542" t="s">
        <v>108</v>
      </c>
      <c r="K936" s="993" t="s">
        <v>1221</v>
      </c>
      <c r="L936" s="993"/>
      <c r="M936" s="993"/>
      <c r="N936" s="395"/>
      <c r="O936" s="973"/>
      <c r="P936" s="973"/>
      <c r="Q936" s="395"/>
      <c r="R936" s="158"/>
      <c r="S936" s="403"/>
    </row>
    <row r="937" spans="4:19">
      <c r="D937" s="174"/>
      <c r="E937" s="123"/>
      <c r="F937" s="395"/>
      <c r="G937" s="395"/>
      <c r="H937" s="395"/>
      <c r="I937" s="395"/>
      <c r="J937" s="395"/>
      <c r="K937" s="395"/>
      <c r="L937" s="395"/>
      <c r="M937" s="395"/>
      <c r="N937" s="395"/>
      <c r="O937" s="395"/>
      <c r="P937" s="395"/>
      <c r="Q937" s="395"/>
      <c r="R937" s="158"/>
      <c r="S937" s="403"/>
    </row>
    <row r="938" spans="4:19">
      <c r="D938" s="174"/>
      <c r="E938" s="123"/>
      <c r="F938" s="395"/>
      <c r="G938" s="395"/>
      <c r="H938" s="395"/>
      <c r="I938" s="395"/>
      <c r="J938" s="395"/>
      <c r="K938" s="395"/>
      <c r="L938" s="395"/>
      <c r="M938" s="395"/>
      <c r="N938" s="395"/>
      <c r="O938" s="395"/>
      <c r="P938" s="395"/>
      <c r="Q938" s="395"/>
      <c r="R938" s="158"/>
      <c r="S938" s="403"/>
    </row>
    <row r="939" spans="4:19">
      <c r="D939" s="403"/>
      <c r="E939" s="123" t="s">
        <v>1261</v>
      </c>
      <c r="F939" s="395"/>
      <c r="G939" s="395"/>
      <c r="H939" s="395"/>
      <c r="I939" s="395"/>
      <c r="J939" s="395"/>
      <c r="K939" s="395"/>
      <c r="L939" s="395"/>
      <c r="M939" s="395"/>
      <c r="N939" s="395"/>
      <c r="O939" s="395"/>
      <c r="P939" s="395"/>
      <c r="Q939" s="395"/>
      <c r="R939" s="157">
        <f>I933</f>
        <v>46.514285714285712</v>
      </c>
      <c r="S939" s="11" t="s">
        <v>352</v>
      </c>
    </row>
    <row r="940" spans="4:19">
      <c r="D940" s="403"/>
      <c r="E940" s="8" t="s">
        <v>1262</v>
      </c>
      <c r="F940" s="398"/>
      <c r="G940" s="399"/>
      <c r="H940" s="399"/>
      <c r="I940" s="399"/>
      <c r="J940" s="399"/>
      <c r="K940" s="399"/>
      <c r="L940" s="399"/>
      <c r="M940" s="399"/>
      <c r="N940" s="399"/>
      <c r="O940" s="399"/>
      <c r="P940" s="399"/>
      <c r="Q940" s="399"/>
      <c r="R940" s="157">
        <f t="shared" ref="R940:R942" si="16">I934</f>
        <v>93.028571428571425</v>
      </c>
      <c r="S940" s="11" t="s">
        <v>352</v>
      </c>
    </row>
    <row r="941" spans="4:19">
      <c r="D941" s="403"/>
      <c r="E941" s="8" t="s">
        <v>1414</v>
      </c>
      <c r="F941" s="398"/>
      <c r="G941" s="399"/>
      <c r="H941" s="399"/>
      <c r="I941" s="399"/>
      <c r="J941" s="399"/>
      <c r="K941" s="399"/>
      <c r="L941" s="399"/>
      <c r="M941" s="399"/>
      <c r="N941" s="399"/>
      <c r="O941" s="399"/>
      <c r="P941" s="399"/>
      <c r="Q941" s="399"/>
      <c r="R941" s="157">
        <f t="shared" si="16"/>
        <v>16</v>
      </c>
      <c r="S941" s="11" t="s">
        <v>352</v>
      </c>
    </row>
    <row r="942" spans="4:19">
      <c r="D942" s="403"/>
      <c r="E942" s="8" t="s">
        <v>1415</v>
      </c>
      <c r="F942" s="398"/>
      <c r="G942" s="399"/>
      <c r="H942" s="399"/>
      <c r="I942" s="399"/>
      <c r="J942" s="399"/>
      <c r="K942" s="399"/>
      <c r="L942" s="399"/>
      <c r="M942" s="399"/>
      <c r="N942" s="399"/>
      <c r="O942" s="399"/>
      <c r="P942" s="399"/>
      <c r="Q942" s="399"/>
      <c r="R942" s="157">
        <f t="shared" si="16"/>
        <v>16</v>
      </c>
      <c r="S942" s="11" t="s">
        <v>352</v>
      </c>
    </row>
    <row r="943" spans="4:19">
      <c r="D943" s="403"/>
      <c r="E943" s="86"/>
      <c r="F943" s="395"/>
      <c r="G943" s="395"/>
      <c r="H943" s="395"/>
      <c r="I943" s="395"/>
      <c r="J943" s="395"/>
      <c r="K943" s="395"/>
      <c r="L943" s="395"/>
      <c r="M943" s="395"/>
      <c r="N943" s="395"/>
      <c r="O943" s="395"/>
      <c r="P943" s="395"/>
      <c r="Q943" s="395"/>
      <c r="R943" s="158"/>
      <c r="S943" s="403"/>
    </row>
    <row r="944" spans="4:19">
      <c r="D944" s="403"/>
      <c r="E944" s="86"/>
      <c r="F944" s="395"/>
      <c r="G944" s="395"/>
      <c r="H944" s="395"/>
      <c r="I944" s="395"/>
      <c r="J944" s="395"/>
      <c r="K944" s="395"/>
      <c r="L944" s="395"/>
      <c r="M944" s="395"/>
      <c r="N944" s="395"/>
      <c r="O944" s="395"/>
      <c r="P944" s="395"/>
      <c r="Q944" s="395"/>
      <c r="R944" s="158"/>
      <c r="S944" s="403"/>
    </row>
    <row r="945" spans="3:19">
      <c r="D945" s="614" t="s">
        <v>1263</v>
      </c>
      <c r="E945" s="86"/>
      <c r="F945" s="395"/>
      <c r="G945" s="395"/>
      <c r="H945" s="395"/>
      <c r="I945" s="395"/>
      <c r="J945" s="395"/>
      <c r="K945" s="395"/>
      <c r="L945" s="395"/>
      <c r="M945" s="395"/>
      <c r="N945" s="395"/>
      <c r="O945" s="395"/>
      <c r="P945" s="395"/>
      <c r="Q945" s="395"/>
      <c r="R945" s="158"/>
      <c r="S945" s="403"/>
    </row>
    <row r="946" spans="3:19">
      <c r="D946" s="403"/>
      <c r="E946" s="86"/>
      <c r="F946" s="395"/>
      <c r="G946" s="395"/>
      <c r="H946" s="395"/>
      <c r="I946" s="395"/>
      <c r="J946" s="395"/>
      <c r="K946" s="395"/>
      <c r="L946" s="395"/>
      <c r="M946" s="395"/>
      <c r="N946" s="395"/>
      <c r="O946" s="395"/>
      <c r="P946" s="395"/>
      <c r="Q946" s="395"/>
      <c r="R946" s="158"/>
      <c r="S946" s="403"/>
    </row>
    <row r="947" spans="3:19">
      <c r="C947" s="132"/>
      <c r="D947" s="396" t="s">
        <v>427</v>
      </c>
      <c r="E947" s="86"/>
      <c r="F947" s="395"/>
      <c r="G947" s="395"/>
      <c r="H947" s="395"/>
      <c r="I947" s="395"/>
      <c r="J947" s="395"/>
      <c r="K947" s="395"/>
      <c r="L947" s="395"/>
      <c r="M947" s="395"/>
      <c r="N947" s="395"/>
      <c r="O947" s="395"/>
      <c r="P947" s="395"/>
      <c r="Q947" s="395"/>
      <c r="R947" s="158"/>
      <c r="S947" s="403"/>
    </row>
    <row r="948" spans="3:19">
      <c r="C948" s="612"/>
      <c r="D948" s="174"/>
      <c r="E948" s="86"/>
      <c r="F948" s="395"/>
      <c r="G948" s="395"/>
      <c r="H948" s="395"/>
      <c r="I948" s="395"/>
      <c r="J948" s="395"/>
      <c r="K948" s="395"/>
      <c r="L948" s="395"/>
      <c r="M948" s="395"/>
      <c r="N948" s="395"/>
      <c r="O948" s="395"/>
      <c r="P948" s="395"/>
      <c r="Q948" s="395"/>
      <c r="R948" s="158"/>
      <c r="S948" s="403"/>
    </row>
    <row r="949" spans="3:19">
      <c r="C949" s="612"/>
      <c r="D949" s="174"/>
      <c r="E949" s="86" t="s">
        <v>21</v>
      </c>
      <c r="F949" s="86"/>
      <c r="G949" s="86"/>
      <c r="H949" s="86"/>
      <c r="I949" s="86"/>
      <c r="J949" s="86"/>
      <c r="K949" s="86"/>
      <c r="L949" s="86"/>
      <c r="M949" s="86"/>
      <c r="N949" s="86"/>
      <c r="O949" s="86"/>
      <c r="P949" s="86"/>
      <c r="Q949" s="86"/>
      <c r="R949" s="403"/>
    </row>
    <row r="950" spans="3:19">
      <c r="C950" s="612"/>
      <c r="D950" s="174"/>
      <c r="E950" s="86"/>
      <c r="F950" s="86"/>
      <c r="G950" s="86"/>
      <c r="H950" s="86"/>
      <c r="I950" s="86"/>
      <c r="J950" s="86"/>
      <c r="K950" s="86"/>
      <c r="L950" s="86"/>
      <c r="M950" s="86"/>
      <c r="N950" s="86"/>
      <c r="O950" s="86"/>
      <c r="P950" s="86"/>
      <c r="Q950" s="86"/>
      <c r="R950" s="403"/>
    </row>
    <row r="951" spans="3:19">
      <c r="C951" s="612"/>
      <c r="D951" s="174"/>
      <c r="E951" s="86" t="s">
        <v>1275</v>
      </c>
      <c r="F951" s="86"/>
      <c r="G951" s="86"/>
      <c r="H951" s="86"/>
      <c r="I951" s="86"/>
      <c r="J951" s="86"/>
      <c r="K951" s="86"/>
      <c r="L951" s="86"/>
      <c r="M951" s="86"/>
      <c r="N951" s="86"/>
      <c r="O951" s="86"/>
      <c r="P951" s="86"/>
      <c r="Q951" s="86"/>
      <c r="R951" s="157">
        <f>(F852*2)</f>
        <v>418</v>
      </c>
      <c r="S951" s="200" t="s">
        <v>0</v>
      </c>
    </row>
    <row r="952" spans="3:19">
      <c r="C952" s="612"/>
      <c r="D952" s="174"/>
      <c r="E952" s="989"/>
      <c r="F952" s="989"/>
      <c r="G952" s="989"/>
      <c r="H952" s="989"/>
      <c r="I952" s="989"/>
      <c r="J952" s="989"/>
      <c r="K952" s="989"/>
      <c r="L952" s="989"/>
      <c r="M952" s="989"/>
      <c r="N952" s="989"/>
      <c r="O952" s="989"/>
      <c r="P952" s="989"/>
      <c r="Q952" s="989"/>
      <c r="R952" s="158"/>
      <c r="S952" s="403"/>
    </row>
    <row r="953" spans="3:19">
      <c r="C953" s="612"/>
      <c r="D953" s="31"/>
      <c r="E953" s="86"/>
      <c r="F953" s="86"/>
      <c r="G953" s="86"/>
      <c r="H953" s="86"/>
      <c r="I953" s="86"/>
      <c r="J953" s="86"/>
      <c r="K953" s="86"/>
      <c r="L953" s="86"/>
      <c r="M953" s="86"/>
      <c r="N953" s="86"/>
      <c r="O953" s="86"/>
      <c r="P953" s="86"/>
      <c r="Q953" s="86"/>
      <c r="R953" s="158"/>
      <c r="S953" s="403"/>
    </row>
    <row r="954" spans="3:19">
      <c r="C954" s="612"/>
      <c r="D954" s="31"/>
      <c r="E954" s="173" t="s">
        <v>22</v>
      </c>
      <c r="F954" s="181"/>
      <c r="G954" s="181"/>
      <c r="H954" s="181"/>
      <c r="I954" s="181"/>
      <c r="J954" s="181"/>
      <c r="K954" s="181"/>
      <c r="L954" s="181"/>
      <c r="M954" s="181"/>
      <c r="N954" s="181"/>
      <c r="O954" s="181"/>
      <c r="P954" s="181"/>
      <c r="Q954" s="181"/>
      <c r="R954" s="158"/>
      <c r="S954" s="403"/>
    </row>
    <row r="955" spans="3:19">
      <c r="C955" s="612"/>
      <c r="D955" s="31"/>
      <c r="E955" s="86"/>
      <c r="F955" s="86"/>
      <c r="G955" s="86"/>
      <c r="H955" s="86"/>
      <c r="I955" s="86"/>
      <c r="J955" s="86"/>
      <c r="K955" s="86"/>
      <c r="L955" s="86"/>
      <c r="M955" s="86"/>
      <c r="N955" s="86"/>
      <c r="O955" s="86"/>
      <c r="P955" s="86"/>
      <c r="Q955" s="86"/>
      <c r="R955" s="158"/>
      <c r="S955" s="403"/>
    </row>
    <row r="956" spans="3:19">
      <c r="C956" s="612"/>
      <c r="D956" s="31"/>
      <c r="E956" s="974" t="s">
        <v>1266</v>
      </c>
      <c r="F956" s="975"/>
      <c r="G956" s="975"/>
      <c r="H956" s="975"/>
      <c r="I956" s="975"/>
      <c r="J956" s="975"/>
      <c r="K956" s="975"/>
      <c r="L956" s="975"/>
      <c r="M956" s="975"/>
      <c r="N956" s="975"/>
      <c r="O956" s="975"/>
      <c r="P956" s="975"/>
      <c r="Q956" s="976"/>
      <c r="R956" s="161"/>
      <c r="S956" s="11"/>
    </row>
    <row r="957" spans="3:19">
      <c r="C957" s="612"/>
      <c r="D957" s="31"/>
      <c r="E957" s="974" t="s">
        <v>1267</v>
      </c>
      <c r="F957" s="975"/>
      <c r="G957" s="975"/>
      <c r="H957" s="975"/>
      <c r="I957" s="975"/>
      <c r="J957" s="975"/>
      <c r="K957" s="975"/>
      <c r="L957" s="975"/>
      <c r="M957" s="975"/>
      <c r="N957" s="975"/>
      <c r="O957" s="975"/>
      <c r="P957" s="975"/>
      <c r="Q957" s="978"/>
      <c r="R957" s="157">
        <f>F852*Q850</f>
        <v>177.65</v>
      </c>
      <c r="S957" s="156" t="s">
        <v>17</v>
      </c>
    </row>
    <row r="958" spans="3:19">
      <c r="C958" s="612"/>
      <c r="D958" s="31"/>
      <c r="E958" s="123"/>
      <c r="F958" s="123"/>
      <c r="G958" s="123"/>
      <c r="H958" s="123"/>
      <c r="I958" s="123"/>
      <c r="J958" s="123"/>
      <c r="K958" s="123"/>
      <c r="L958" s="123"/>
      <c r="M958" s="123"/>
      <c r="N958" s="123"/>
      <c r="O958" s="123"/>
      <c r="P958" s="123"/>
      <c r="Q958" s="123"/>
      <c r="R958" s="158"/>
      <c r="S958" s="403"/>
    </row>
    <row r="959" spans="3:19">
      <c r="C959" s="612"/>
      <c r="D959" s="31"/>
      <c r="E959" s="123"/>
      <c r="F959" s="123"/>
      <c r="G959" s="123"/>
      <c r="H959" s="123"/>
      <c r="I959" s="123"/>
      <c r="J959" s="123"/>
      <c r="K959" s="123"/>
      <c r="L959" s="123"/>
      <c r="M959" s="123"/>
      <c r="N959" s="123"/>
      <c r="O959" s="123"/>
      <c r="P959" s="123"/>
      <c r="Q959" s="123"/>
      <c r="R959" s="158"/>
      <c r="S959" s="403"/>
    </row>
    <row r="960" spans="3:19">
      <c r="C960" s="612"/>
      <c r="E960" s="31" t="s">
        <v>1268</v>
      </c>
      <c r="F960" s="123"/>
      <c r="G960" s="123"/>
      <c r="H960" s="123"/>
      <c r="I960" s="123"/>
      <c r="J960" s="123"/>
      <c r="K960" s="123"/>
      <c r="L960" s="123"/>
      <c r="M960" s="123"/>
      <c r="N960" s="123"/>
      <c r="O960" s="123"/>
      <c r="P960" s="123"/>
      <c r="Q960" s="123"/>
      <c r="R960" s="158"/>
      <c r="S960" s="403"/>
    </row>
    <row r="961" spans="3:22">
      <c r="C961" s="612"/>
      <c r="E961" s="31"/>
      <c r="F961" s="123"/>
      <c r="G961" s="123"/>
      <c r="H961" s="123"/>
      <c r="I961" s="123"/>
      <c r="J961" s="123"/>
      <c r="K961" s="123"/>
      <c r="L961" s="123"/>
      <c r="M961" s="123"/>
      <c r="N961" s="123"/>
      <c r="O961" s="123"/>
      <c r="P961" s="123"/>
      <c r="Q961" s="123"/>
      <c r="R961" s="158"/>
      <c r="S961" s="403"/>
    </row>
    <row r="962" spans="3:22">
      <c r="C962" s="612"/>
      <c r="D962" s="31"/>
      <c r="E962" s="173" t="s">
        <v>1269</v>
      </c>
      <c r="F962" s="123"/>
      <c r="G962" s="123"/>
      <c r="H962" s="123"/>
      <c r="I962" s="123"/>
      <c r="J962" s="123"/>
      <c r="K962" s="123"/>
      <c r="L962" s="123"/>
      <c r="M962" s="123"/>
      <c r="N962" s="123"/>
      <c r="O962" s="123"/>
      <c r="P962" s="123"/>
      <c r="Q962" s="123"/>
      <c r="R962" s="157">
        <f>F853*Q850</f>
        <v>107.95</v>
      </c>
      <c r="S962" s="156" t="s">
        <v>17</v>
      </c>
    </row>
    <row r="963" spans="3:22">
      <c r="C963" s="612"/>
      <c r="D963" s="31"/>
      <c r="E963" s="173"/>
      <c r="F963" s="123"/>
      <c r="G963" s="123"/>
      <c r="H963" s="123"/>
      <c r="I963" s="123"/>
      <c r="J963" s="123"/>
      <c r="K963" s="123"/>
      <c r="L963" s="123"/>
      <c r="M963" s="123"/>
      <c r="N963" s="123"/>
      <c r="O963" s="123"/>
      <c r="P963" s="123"/>
      <c r="Q963" s="123"/>
      <c r="R963" s="158"/>
      <c r="S963" s="403"/>
    </row>
    <row r="964" spans="3:22">
      <c r="C964" s="612"/>
      <c r="D964" s="31"/>
      <c r="E964" s="173"/>
      <c r="F964" s="123"/>
      <c r="G964" s="123"/>
      <c r="H964" s="123"/>
      <c r="I964" s="123"/>
      <c r="J964" s="123"/>
      <c r="K964" s="123"/>
      <c r="L964" s="123"/>
      <c r="M964" s="123"/>
      <c r="N964" s="123"/>
      <c r="O964" s="123"/>
      <c r="P964" s="123"/>
      <c r="Q964" s="123"/>
      <c r="R964" s="158"/>
      <c r="S964" s="403"/>
    </row>
    <row r="965" spans="3:22">
      <c r="C965" s="612"/>
      <c r="D965" s="31"/>
      <c r="E965" s="539" t="s">
        <v>178</v>
      </c>
      <c r="F965" s="539"/>
      <c r="G965" s="539"/>
      <c r="H965" s="539"/>
      <c r="I965" s="539"/>
      <c r="J965" s="539"/>
      <c r="K965" s="539"/>
      <c r="L965" s="539"/>
      <c r="M965" s="539"/>
      <c r="N965" s="539"/>
      <c r="O965" s="539"/>
      <c r="P965" s="539"/>
      <c r="Q965" s="539"/>
      <c r="R965" s="158"/>
      <c r="S965" s="403"/>
    </row>
    <row r="966" spans="3:22">
      <c r="C966" s="612"/>
      <c r="D966" s="31"/>
      <c r="E966" s="86"/>
      <c r="F966" s="86"/>
      <c r="G966" s="86"/>
      <c r="H966" s="86"/>
      <c r="I966" s="86"/>
      <c r="J966" s="86"/>
      <c r="K966" s="86"/>
      <c r="L966" s="86"/>
      <c r="M966" s="86"/>
      <c r="N966" s="86"/>
      <c r="O966" s="86"/>
      <c r="P966" s="86"/>
      <c r="Q966" s="86"/>
      <c r="R966" s="158"/>
      <c r="S966" s="403"/>
    </row>
    <row r="967" spans="3:22">
      <c r="C967" s="612"/>
      <c r="D967" s="31"/>
      <c r="E967" s="86" t="s">
        <v>208</v>
      </c>
      <c r="F967" s="86"/>
      <c r="G967" s="86"/>
      <c r="H967" s="86"/>
      <c r="I967" s="86"/>
      <c r="J967" s="86"/>
      <c r="K967" s="86"/>
      <c r="L967" s="86"/>
      <c r="M967" s="86"/>
      <c r="N967" s="86"/>
      <c r="O967" s="86"/>
      <c r="P967" s="86"/>
      <c r="Q967" s="86"/>
      <c r="R967" s="157">
        <f>ROUND(SUM(F852)/50*10,0)</f>
        <v>42</v>
      </c>
      <c r="S967" s="156" t="s">
        <v>179</v>
      </c>
      <c r="U967" s="170"/>
    </row>
    <row r="968" spans="3:22">
      <c r="C968" s="612"/>
      <c r="D968" s="31"/>
      <c r="E968" s="173"/>
      <c r="F968" s="123"/>
      <c r="G968" s="123"/>
      <c r="H968" s="123"/>
      <c r="I968" s="123"/>
      <c r="J968" s="123"/>
      <c r="K968" s="123"/>
      <c r="L968" s="123"/>
      <c r="M968" s="123"/>
      <c r="N968" s="123"/>
      <c r="O968" s="123"/>
      <c r="P968" s="123"/>
      <c r="Q968" s="123"/>
      <c r="R968" s="158"/>
      <c r="S968" s="403"/>
    </row>
    <row r="969" spans="3:22">
      <c r="C969" s="612"/>
      <c r="D969" s="31"/>
      <c r="E969" s="173"/>
      <c r="F969" s="123"/>
      <c r="G969" s="123"/>
      <c r="H969" s="123"/>
      <c r="I969" s="123"/>
      <c r="J969" s="123"/>
      <c r="K969" s="123"/>
      <c r="L969" s="123"/>
      <c r="M969" s="123"/>
      <c r="N969" s="123"/>
      <c r="O969" s="123"/>
      <c r="P969" s="123"/>
      <c r="Q969" s="123"/>
      <c r="R969" s="158"/>
      <c r="S969" s="403"/>
    </row>
    <row r="970" spans="3:22">
      <c r="C970" s="612"/>
      <c r="D970" s="31"/>
      <c r="E970" s="8" t="s">
        <v>795</v>
      </c>
      <c r="F970" s="559"/>
      <c r="G970" s="281"/>
      <c r="H970" s="560"/>
      <c r="I970" s="284"/>
      <c r="J970" s="267"/>
      <c r="K970" s="276"/>
      <c r="L970" s="276"/>
      <c r="M970" s="276"/>
      <c r="N970" s="281"/>
      <c r="O970" s="395"/>
      <c r="P970" s="395"/>
      <c r="Q970" s="395"/>
      <c r="R970" s="158"/>
      <c r="S970" s="403"/>
    </row>
    <row r="971" spans="3:22">
      <c r="C971" s="612"/>
      <c r="D971" s="31"/>
      <c r="E971" s="8"/>
      <c r="F971" s="554"/>
      <c r="G971" s="281"/>
      <c r="H971" s="560"/>
      <c r="I971" s="284"/>
      <c r="J971" s="267"/>
      <c r="K971" s="977"/>
      <c r="L971" s="977"/>
      <c r="M971" s="276"/>
      <c r="N971" s="281"/>
      <c r="O971" s="395"/>
      <c r="P971" s="395"/>
      <c r="Q971" s="395"/>
      <c r="R971" s="158"/>
      <c r="S971" s="403"/>
      <c r="U971" s="472" t="s">
        <v>1216</v>
      </c>
    </row>
    <row r="972" spans="3:22">
      <c r="C972" s="612"/>
      <c r="D972" s="31"/>
      <c r="E972" s="974" t="s">
        <v>1270</v>
      </c>
      <c r="F972" s="975"/>
      <c r="G972" s="975"/>
      <c r="H972" s="975"/>
      <c r="I972" s="975"/>
      <c r="J972" s="975"/>
      <c r="K972" s="975"/>
      <c r="L972" s="975"/>
      <c r="M972" s="975"/>
      <c r="N972" s="975"/>
      <c r="O972" s="975"/>
      <c r="P972" s="975"/>
      <c r="Q972" s="976"/>
      <c r="R972" s="157">
        <f>((F852+F853)*Q850)*U972</f>
        <v>28.56</v>
      </c>
      <c r="S972" s="156" t="s">
        <v>18</v>
      </c>
      <c r="U972" s="236">
        <v>0.1</v>
      </c>
      <c r="V972" s="534" t="s">
        <v>0</v>
      </c>
    </row>
    <row r="973" spans="3:22">
      <c r="C973" s="612"/>
      <c r="D973" s="31"/>
      <c r="E973" s="123"/>
      <c r="F973" s="123"/>
      <c r="G973" s="123"/>
      <c r="H973" s="123"/>
      <c r="I973" s="123"/>
      <c r="J973" s="123"/>
      <c r="K973" s="123"/>
      <c r="L973" s="123"/>
      <c r="M973" s="123"/>
      <c r="N973" s="123"/>
      <c r="O973" s="123"/>
      <c r="P973" s="123"/>
      <c r="Q973" s="123"/>
      <c r="R973" s="158"/>
      <c r="S973" s="403"/>
      <c r="U973" s="236"/>
      <c r="V973" s="534"/>
    </row>
    <row r="974" spans="3:22">
      <c r="C974" s="612"/>
      <c r="D974" s="31"/>
      <c r="E974" s="123"/>
      <c r="F974" s="123"/>
      <c r="G974" s="123"/>
      <c r="H974" s="123"/>
      <c r="I974" s="123"/>
      <c r="J974" s="123"/>
      <c r="K974" s="123"/>
      <c r="L974" s="123"/>
      <c r="M974" s="123"/>
      <c r="N974" s="123"/>
      <c r="O974" s="123"/>
      <c r="P974" s="123"/>
      <c r="Q974" s="123"/>
      <c r="R974" s="158"/>
      <c r="S974" s="403"/>
      <c r="U974" s="236"/>
      <c r="V974" s="534"/>
    </row>
    <row r="975" spans="3:22">
      <c r="C975" s="612"/>
      <c r="D975" s="31"/>
      <c r="E975" s="472" t="s">
        <v>1281</v>
      </c>
      <c r="F975" s="10"/>
      <c r="G975" s="10"/>
      <c r="H975" s="10"/>
      <c r="I975" s="10"/>
      <c r="J975" s="10"/>
      <c r="K975" s="546"/>
      <c r="L975" s="547"/>
      <c r="M975" s="547"/>
      <c r="N975" s="547"/>
      <c r="O975" s="547"/>
      <c r="P975" s="547"/>
      <c r="Q975" s="548"/>
      <c r="R975" s="11"/>
      <c r="S975" s="11"/>
      <c r="U975" s="236"/>
      <c r="V975" s="534"/>
    </row>
    <row r="976" spans="3:22">
      <c r="C976" s="612"/>
      <c r="D976" s="31"/>
      <c r="F976" s="10"/>
      <c r="G976" s="10"/>
      <c r="H976" s="10"/>
      <c r="I976" s="10"/>
      <c r="J976" s="10"/>
      <c r="K976" s="546"/>
      <c r="L976" s="547"/>
      <c r="M976" s="547"/>
      <c r="N976" s="547"/>
      <c r="O976" s="547"/>
      <c r="P976" s="547"/>
      <c r="Q976" s="548"/>
      <c r="R976" s="11"/>
      <c r="S976" s="11"/>
      <c r="U976" s="236"/>
      <c r="V976" s="534"/>
    </row>
    <row r="977" spans="3:22">
      <c r="C977" s="612"/>
      <c r="D977" s="31"/>
      <c r="E977" s="554"/>
      <c r="F977" s="86" t="s">
        <v>198</v>
      </c>
      <c r="G977" s="86"/>
      <c r="H977" s="86"/>
      <c r="I977" s="86"/>
      <c r="J977" s="86"/>
      <c r="K977" s="86"/>
      <c r="L977" s="86" t="s">
        <v>192</v>
      </c>
      <c r="M977" s="171">
        <v>12</v>
      </c>
      <c r="N977" s="172" t="s">
        <v>193</v>
      </c>
      <c r="O977" s="395"/>
      <c r="P977" s="395"/>
      <c r="Q977" s="395"/>
      <c r="R977" s="158"/>
      <c r="S977" s="403"/>
      <c r="U977" s="236"/>
      <c r="V977" s="534"/>
    </row>
    <row r="978" spans="3:22">
      <c r="C978" s="612"/>
      <c r="D978" s="31"/>
      <c r="E978" s="554"/>
      <c r="F978" s="86"/>
      <c r="G978" s="86"/>
      <c r="H978" s="86"/>
      <c r="I978" s="86"/>
      <c r="J978" s="86"/>
      <c r="K978" s="86"/>
      <c r="L978" s="86"/>
      <c r="M978" s="86"/>
      <c r="N978" s="86"/>
      <c r="O978" s="395"/>
      <c r="P978" s="395"/>
      <c r="Q978" s="395"/>
      <c r="R978" s="158"/>
      <c r="S978" s="403"/>
      <c r="U978" s="236"/>
      <c r="V978" s="534"/>
    </row>
    <row r="979" spans="3:22">
      <c r="C979" s="612"/>
      <c r="D979" s="31"/>
      <c r="E979" s="554"/>
      <c r="F979" s="86" t="s">
        <v>199</v>
      </c>
      <c r="G979" s="86"/>
      <c r="H979" s="86"/>
      <c r="I979" s="86"/>
      <c r="J979" s="86"/>
      <c r="K979" s="86"/>
      <c r="L979" s="86" t="s">
        <v>192</v>
      </c>
      <c r="M979" s="536">
        <f>Q851</f>
        <v>1.5</v>
      </c>
      <c r="N979" s="172" t="s">
        <v>0</v>
      </c>
      <c r="O979" s="395"/>
      <c r="P979" s="395"/>
      <c r="Q979" s="395"/>
      <c r="R979" s="158"/>
      <c r="S979" s="403"/>
      <c r="U979" s="236"/>
      <c r="V979" s="534"/>
    </row>
    <row r="980" spans="3:22">
      <c r="C980" s="612"/>
      <c r="D980" s="31"/>
      <c r="E980" s="554"/>
      <c r="F980" s="554"/>
      <c r="G980" s="281"/>
      <c r="H980" s="560"/>
      <c r="I980" s="284"/>
      <c r="J980" s="276"/>
      <c r="K980" s="276"/>
      <c r="L980" s="276"/>
      <c r="M980" s="267"/>
      <c r="N980" s="267"/>
      <c r="O980" s="395"/>
      <c r="P980" s="395"/>
      <c r="Q980" s="395"/>
      <c r="R980" s="158"/>
      <c r="S980" s="403"/>
      <c r="U980" s="236"/>
      <c r="V980" s="534"/>
    </row>
    <row r="981" spans="3:22">
      <c r="C981" s="612"/>
      <c r="D981" s="31"/>
      <c r="E981" s="86" t="s">
        <v>1253</v>
      </c>
      <c r="F981" s="86"/>
      <c r="G981" s="86"/>
      <c r="H981" s="86"/>
      <c r="I981" s="86"/>
      <c r="J981" s="86"/>
      <c r="K981" s="86"/>
      <c r="L981" s="86"/>
      <c r="M981" s="86"/>
      <c r="N981" s="86"/>
      <c r="O981" s="86"/>
      <c r="P981" s="86"/>
      <c r="Q981" s="86"/>
      <c r="R981" s="159">
        <f>(((F852+F853)*M979)*2)/M977</f>
        <v>84</v>
      </c>
      <c r="S981" s="156" t="s">
        <v>17</v>
      </c>
      <c r="U981" s="236"/>
      <c r="V981" s="534"/>
    </row>
    <row r="982" spans="3:22">
      <c r="C982" s="612"/>
      <c r="D982" s="31"/>
      <c r="E982" s="123"/>
      <c r="F982" s="123"/>
      <c r="G982" s="123"/>
      <c r="H982" s="123"/>
      <c r="I982" s="123"/>
      <c r="J982" s="123"/>
      <c r="K982" s="123"/>
      <c r="L982" s="123"/>
      <c r="M982" s="123"/>
      <c r="N982" s="123"/>
      <c r="O982" s="123"/>
      <c r="P982" s="123"/>
      <c r="Q982" s="123"/>
      <c r="R982" s="158"/>
      <c r="S982" s="403"/>
      <c r="U982" s="236"/>
      <c r="V982" s="534"/>
    </row>
    <row r="983" spans="3:22">
      <c r="C983" s="612"/>
      <c r="D983" s="31"/>
      <c r="E983" s="123"/>
      <c r="F983" s="123"/>
      <c r="G983" s="123"/>
      <c r="H983" s="123"/>
      <c r="I983" s="123"/>
      <c r="J983" s="123"/>
      <c r="K983" s="123"/>
      <c r="L983" s="123"/>
      <c r="M983" s="123"/>
      <c r="N983" s="123"/>
      <c r="O983" s="123"/>
      <c r="P983" s="123"/>
      <c r="Q983" s="123"/>
      <c r="R983" s="158"/>
      <c r="S983" s="403"/>
      <c r="U983" s="236"/>
      <c r="V983" s="534"/>
    </row>
    <row r="984" spans="3:22">
      <c r="C984" s="612"/>
      <c r="D984" s="31"/>
      <c r="E984" s="472" t="s">
        <v>1254</v>
      </c>
      <c r="F984" s="10"/>
      <c r="G984" s="10"/>
      <c r="H984" s="10"/>
      <c r="I984" s="10"/>
      <c r="J984" s="10"/>
      <c r="K984" s="990"/>
      <c r="L984" s="991"/>
      <c r="M984" s="991"/>
      <c r="N984" s="991"/>
      <c r="O984" s="991"/>
      <c r="P984" s="991"/>
      <c r="Q984" s="992"/>
      <c r="R984" s="11"/>
      <c r="S984" s="11"/>
      <c r="U984" s="472" t="s">
        <v>1256</v>
      </c>
    </row>
    <row r="985" spans="3:22">
      <c r="C985" s="612"/>
      <c r="D985" s="31"/>
      <c r="E985" s="472"/>
      <c r="F985" s="10"/>
      <c r="G985" s="10"/>
      <c r="H985" s="10"/>
      <c r="I985" s="10"/>
      <c r="J985" s="10"/>
      <c r="K985" s="615"/>
      <c r="L985" s="403"/>
      <c r="M985" s="403"/>
      <c r="N985" s="403"/>
      <c r="O985" s="403"/>
      <c r="P985" s="403"/>
      <c r="Q985" s="403"/>
      <c r="R985" s="403"/>
      <c r="S985" s="156"/>
      <c r="U985" s="472"/>
    </row>
    <row r="986" spans="3:22">
      <c r="C986" s="612"/>
      <c r="D986" s="31"/>
      <c r="E986" s="472" t="s">
        <v>1255</v>
      </c>
      <c r="F986" s="10"/>
      <c r="G986" s="10"/>
      <c r="H986" s="10"/>
      <c r="I986" s="10"/>
      <c r="J986" s="10"/>
      <c r="K986" s="982"/>
      <c r="L986" s="983"/>
      <c r="M986" s="983"/>
      <c r="N986" s="983"/>
      <c r="O986" s="983"/>
      <c r="P986" s="983"/>
      <c r="Q986" s="983"/>
      <c r="R986" s="159">
        <f>((F852+F853)*Q850)*U986</f>
        <v>28.56</v>
      </c>
      <c r="S986" s="156" t="s">
        <v>18</v>
      </c>
      <c r="U986" s="236">
        <v>0.1</v>
      </c>
      <c r="V986" s="534" t="s">
        <v>0</v>
      </c>
    </row>
    <row r="987" spans="3:22">
      <c r="C987" s="612"/>
      <c r="D987" s="31"/>
      <c r="F987" s="10"/>
      <c r="G987" s="10"/>
      <c r="H987" s="10"/>
      <c r="I987" s="10"/>
      <c r="J987" s="10"/>
      <c r="K987" s="984"/>
      <c r="L987" s="985"/>
      <c r="M987" s="985"/>
      <c r="N987" s="985"/>
      <c r="O987" s="985"/>
      <c r="P987" s="985"/>
      <c r="Q987" s="985"/>
    </row>
    <row r="988" spans="3:22">
      <c r="C988" s="612"/>
      <c r="D988" s="31"/>
      <c r="E988" s="123"/>
      <c r="F988" s="123"/>
      <c r="G988" s="123"/>
      <c r="H988" s="123"/>
      <c r="I988" s="123"/>
      <c r="J988" s="123"/>
      <c r="K988" s="123"/>
      <c r="L988" s="123"/>
      <c r="M988" s="123"/>
      <c r="N988" s="123"/>
      <c r="O988" s="123"/>
      <c r="P988" s="123"/>
      <c r="Q988" s="123"/>
      <c r="R988" s="158"/>
      <c r="S988" s="403"/>
      <c r="U988" s="236"/>
      <c r="V988" s="534"/>
    </row>
    <row r="989" spans="3:22">
      <c r="C989" s="612"/>
      <c r="D989" s="31"/>
      <c r="E989" s="86" t="s">
        <v>1399</v>
      </c>
      <c r="F989" s="86"/>
      <c r="G989" s="86"/>
      <c r="H989" s="86"/>
      <c r="I989" s="86"/>
      <c r="J989" s="86"/>
      <c r="K989" s="86"/>
      <c r="L989" s="86"/>
      <c r="M989" s="86"/>
      <c r="N989" s="86"/>
      <c r="O989" s="86"/>
      <c r="P989" s="86"/>
      <c r="Q989" s="86"/>
      <c r="R989" s="203"/>
      <c r="S989" s="403"/>
    </row>
    <row r="990" spans="3:22">
      <c r="C990" s="612"/>
      <c r="D990" s="31"/>
      <c r="E990" s="86"/>
      <c r="F990" s="86"/>
      <c r="G990" s="86"/>
      <c r="H990" s="86"/>
      <c r="I990" s="86"/>
      <c r="J990" s="86"/>
      <c r="K990" s="86"/>
      <c r="L990" s="86"/>
      <c r="M990" s="86"/>
      <c r="N990" s="86"/>
      <c r="O990" s="86"/>
      <c r="P990" s="86"/>
      <c r="Q990" s="86"/>
      <c r="R990" s="203"/>
      <c r="S990" s="403"/>
      <c r="U990" s="616" t="s">
        <v>1258</v>
      </c>
    </row>
    <row r="991" spans="3:22">
      <c r="C991" s="612"/>
      <c r="D991" s="31"/>
      <c r="E991" s="974" t="s">
        <v>1257</v>
      </c>
      <c r="F991" s="975"/>
      <c r="G991" s="975"/>
      <c r="H991" s="975"/>
      <c r="I991" s="975"/>
      <c r="J991" s="975"/>
      <c r="K991" s="975"/>
      <c r="L991" s="975"/>
      <c r="M991" s="975"/>
      <c r="N991" s="975"/>
      <c r="O991" s="975"/>
      <c r="P991" s="975"/>
      <c r="Q991" s="976"/>
      <c r="R991" s="157">
        <f>((F852+F853)*Q850*Q851)-U991</f>
        <v>422.46238988471526</v>
      </c>
      <c r="S991" s="156" t="s">
        <v>18</v>
      </c>
      <c r="U991" s="535">
        <f>(PI()*(F854/2)^2)*(F852+F853)</f>
        <v>5.9376101152847092</v>
      </c>
      <c r="V991" s="534" t="s">
        <v>18</v>
      </c>
    </row>
    <row r="992" spans="3:22">
      <c r="C992" s="612"/>
      <c r="D992" s="31"/>
      <c r="E992" s="123"/>
      <c r="F992" s="123"/>
      <c r="G992" s="123"/>
      <c r="H992" s="123"/>
      <c r="I992" s="123"/>
      <c r="J992" s="123"/>
      <c r="K992" s="123"/>
      <c r="L992" s="123"/>
      <c r="M992" s="123"/>
      <c r="N992" s="123"/>
      <c r="O992" s="123"/>
      <c r="P992" s="123"/>
      <c r="Q992" s="123"/>
      <c r="R992" s="158"/>
      <c r="S992" s="403"/>
      <c r="U992" s="236"/>
      <c r="V992" s="534"/>
    </row>
    <row r="993" spans="3:23">
      <c r="C993" s="612"/>
      <c r="D993" s="31"/>
      <c r="E993" s="123"/>
      <c r="F993" s="123"/>
      <c r="G993" s="123"/>
      <c r="H993" s="123"/>
      <c r="I993" s="123"/>
      <c r="J993" s="123"/>
      <c r="K993" s="123"/>
      <c r="L993" s="123"/>
      <c r="M993" s="123"/>
      <c r="N993" s="123"/>
      <c r="O993" s="123"/>
      <c r="P993" s="123"/>
      <c r="Q993" s="123"/>
      <c r="R993" s="158"/>
      <c r="S993" s="403"/>
      <c r="U993" s="236"/>
      <c r="V993" s="534"/>
    </row>
    <row r="994" spans="3:23">
      <c r="C994" s="612"/>
      <c r="D994" s="31"/>
      <c r="E994" s="173" t="s">
        <v>23</v>
      </c>
      <c r="F994" s="86"/>
      <c r="G994" s="86"/>
      <c r="H994" s="86"/>
      <c r="I994" s="86"/>
      <c r="J994" s="86"/>
      <c r="K994" s="86"/>
      <c r="L994" s="86"/>
      <c r="M994" s="86"/>
      <c r="N994" s="86"/>
      <c r="O994" s="86"/>
      <c r="P994" s="86"/>
      <c r="Q994" s="86"/>
      <c r="R994" s="158"/>
      <c r="S994" s="403"/>
      <c r="U994" s="236"/>
      <c r="V994" s="534"/>
    </row>
    <row r="995" spans="3:23">
      <c r="C995" s="612"/>
      <c r="D995" s="31"/>
      <c r="E995" s="86"/>
      <c r="F995" s="86"/>
      <c r="G995" s="86"/>
      <c r="H995" s="86"/>
      <c r="I995" s="86"/>
      <c r="J995" s="86"/>
      <c r="K995" s="86"/>
      <c r="L995" s="86"/>
      <c r="M995" s="86"/>
      <c r="N995" s="86"/>
      <c r="O995" s="86"/>
      <c r="P995" s="86"/>
      <c r="Q995" s="86"/>
      <c r="R995" s="158"/>
      <c r="S995" s="403"/>
      <c r="U995" s="236"/>
      <c r="V995" s="534"/>
    </row>
    <row r="996" spans="3:23">
      <c r="C996" s="612"/>
      <c r="D996" s="31"/>
      <c r="E996" s="986" t="s">
        <v>1271</v>
      </c>
      <c r="F996" s="987"/>
      <c r="G996" s="987"/>
      <c r="H996" s="987"/>
      <c r="I996" s="987"/>
      <c r="J996" s="987"/>
      <c r="K996" s="987"/>
      <c r="L996" s="987"/>
      <c r="M996" s="987"/>
      <c r="N996" s="987"/>
      <c r="O996" s="987"/>
      <c r="P996" s="987"/>
      <c r="Q996" s="988"/>
      <c r="R996" s="157">
        <f>R957+R962+U991</f>
        <v>291.53761011528474</v>
      </c>
      <c r="S996" s="156" t="s">
        <v>18</v>
      </c>
      <c r="U996" s="236"/>
      <c r="V996" s="534"/>
    </row>
    <row r="997" spans="3:23">
      <c r="C997" s="612"/>
      <c r="D997" s="31"/>
      <c r="E997" s="395"/>
      <c r="F997" s="395"/>
      <c r="G997" s="395"/>
      <c r="H997" s="395"/>
      <c r="I997" s="395"/>
      <c r="J997" s="395"/>
      <c r="K997" s="395"/>
      <c r="L997" s="395"/>
      <c r="M997" s="395"/>
      <c r="N997" s="395"/>
      <c r="O997" s="395"/>
      <c r="P997" s="395"/>
      <c r="Q997" s="395"/>
      <c r="R997" s="158"/>
      <c r="S997" s="403"/>
      <c r="U997" s="236"/>
      <c r="V997" s="534"/>
    </row>
    <row r="998" spans="3:23">
      <c r="C998" s="612"/>
      <c r="D998" s="31"/>
      <c r="E998" s="395"/>
      <c r="F998" s="395"/>
      <c r="G998" s="395"/>
      <c r="H998" s="395"/>
      <c r="I998" s="395"/>
      <c r="J998" s="395"/>
      <c r="K998" s="395"/>
      <c r="L998" s="395"/>
      <c r="M998" s="395"/>
      <c r="N998" s="395"/>
      <c r="O998" s="395"/>
      <c r="P998" s="395"/>
      <c r="Q998" s="395"/>
      <c r="R998" s="158"/>
      <c r="S998" s="403"/>
      <c r="U998" s="236"/>
      <c r="V998" s="534"/>
    </row>
    <row r="999" spans="3:23">
      <c r="D999" s="31"/>
      <c r="E999" s="173" t="s">
        <v>96</v>
      </c>
      <c r="F999" s="86"/>
      <c r="G999" s="86"/>
      <c r="H999" s="86"/>
      <c r="I999" s="86"/>
      <c r="J999" s="86"/>
      <c r="K999" s="86"/>
      <c r="L999" s="86"/>
      <c r="M999" s="86"/>
      <c r="N999" s="86"/>
      <c r="O999" s="86"/>
      <c r="P999" s="86"/>
      <c r="Q999" s="86"/>
      <c r="R999" s="158"/>
      <c r="S999" s="403"/>
    </row>
    <row r="1000" spans="3:23" ht="12.75" customHeight="1">
      <c r="E1000" s="86"/>
      <c r="F1000" s="86"/>
      <c r="G1000" s="86"/>
      <c r="H1000" s="86"/>
      <c r="I1000" s="86"/>
      <c r="J1000" s="86"/>
      <c r="K1000" s="86"/>
      <c r="L1000" s="86"/>
      <c r="M1000" s="86"/>
      <c r="N1000" s="86"/>
      <c r="O1000" s="86"/>
      <c r="P1000" s="86"/>
      <c r="Q1000" s="86"/>
      <c r="R1000" s="158"/>
      <c r="S1000" s="403"/>
      <c r="U1000" s="472" t="s">
        <v>1191</v>
      </c>
      <c r="V1000" s="236">
        <v>0.15</v>
      </c>
      <c r="W1000" s="534" t="s">
        <v>0</v>
      </c>
    </row>
    <row r="1001" spans="3:23">
      <c r="D1001" s="31"/>
      <c r="E1001" s="974" t="s">
        <v>1272</v>
      </c>
      <c r="F1001" s="975"/>
      <c r="G1001" s="975"/>
      <c r="H1001" s="975"/>
      <c r="I1001" s="975"/>
      <c r="J1001" s="975"/>
      <c r="K1001" s="975"/>
      <c r="L1001" s="975"/>
      <c r="M1001" s="975"/>
      <c r="N1001" s="975"/>
      <c r="O1001" s="975"/>
      <c r="P1001" s="975"/>
      <c r="Q1001" s="976"/>
      <c r="R1001" s="156"/>
      <c r="S1001" s="11"/>
    </row>
    <row r="1002" spans="3:23" ht="12.75" customHeight="1">
      <c r="D1002" s="31"/>
      <c r="E1002" s="974" t="s">
        <v>140</v>
      </c>
      <c r="F1002" s="975"/>
      <c r="G1002" s="975"/>
      <c r="H1002" s="975"/>
      <c r="I1002" s="975"/>
      <c r="J1002" s="975"/>
      <c r="K1002" s="975"/>
      <c r="L1002" s="975"/>
      <c r="M1002" s="975"/>
      <c r="N1002" s="975"/>
      <c r="O1002" s="975"/>
      <c r="P1002" s="975"/>
      <c r="Q1002" s="978"/>
      <c r="R1002" s="157">
        <f>F852*Q850*V1000</f>
        <v>26.647500000000001</v>
      </c>
      <c r="S1002" s="156" t="s">
        <v>18</v>
      </c>
    </row>
    <row r="1003" spans="3:23">
      <c r="D1003" s="31"/>
      <c r="E1003" s="86"/>
      <c r="F1003" s="86"/>
      <c r="G1003" s="86"/>
      <c r="H1003" s="86"/>
      <c r="I1003" s="86"/>
      <c r="J1003" s="86"/>
      <c r="K1003" s="86"/>
      <c r="L1003" s="86"/>
      <c r="M1003" s="86"/>
      <c r="N1003" s="86"/>
      <c r="O1003" s="86"/>
      <c r="P1003" s="86"/>
      <c r="Q1003" s="86"/>
      <c r="R1003" s="158"/>
      <c r="S1003" s="403"/>
    </row>
    <row r="1004" spans="3:23" ht="12.75" customHeight="1">
      <c r="D1004" s="31"/>
      <c r="E1004" s="86"/>
      <c r="F1004" s="86"/>
      <c r="G1004" s="86"/>
      <c r="H1004" s="86"/>
      <c r="I1004" s="86"/>
      <c r="J1004" s="86"/>
      <c r="K1004" s="86"/>
      <c r="L1004" s="86"/>
      <c r="M1004" s="86"/>
      <c r="N1004" s="86"/>
      <c r="O1004" s="86"/>
      <c r="P1004" s="86"/>
      <c r="Q1004" s="86"/>
      <c r="R1004" s="158"/>
      <c r="S1004" s="403"/>
    </row>
    <row r="1005" spans="3:23">
      <c r="D1005" s="31"/>
      <c r="E1005" s="173" t="s">
        <v>24</v>
      </c>
      <c r="F1005" s="86"/>
      <c r="G1005" s="86"/>
      <c r="H1005" s="86"/>
      <c r="I1005" s="86"/>
      <c r="J1005" s="86"/>
      <c r="K1005" s="86"/>
      <c r="L1005" s="86"/>
      <c r="M1005" s="86"/>
      <c r="N1005" s="86"/>
      <c r="O1005" s="86"/>
      <c r="P1005" s="86"/>
      <c r="Q1005" s="86"/>
      <c r="R1005" s="158"/>
      <c r="S1005" s="403"/>
    </row>
    <row r="1006" spans="3:23">
      <c r="E1006" s="86"/>
      <c r="F1006" s="86"/>
      <c r="G1006" s="86"/>
      <c r="H1006" s="86"/>
      <c r="I1006" s="86"/>
      <c r="J1006" s="86"/>
      <c r="K1006" s="86"/>
      <c r="L1006" s="86"/>
      <c r="M1006" s="86"/>
      <c r="N1006" s="86"/>
      <c r="O1006" s="86"/>
      <c r="P1006" s="86"/>
      <c r="Q1006" s="86"/>
      <c r="R1006" s="158"/>
      <c r="S1006" s="403"/>
    </row>
    <row r="1007" spans="3:23" ht="12.75" customHeight="1">
      <c r="D1007" s="31"/>
      <c r="E1007" s="979" t="s">
        <v>1198</v>
      </c>
      <c r="F1007" s="980"/>
      <c r="G1007" s="980"/>
      <c r="H1007" s="980"/>
      <c r="I1007" s="980"/>
      <c r="J1007" s="980"/>
      <c r="K1007" s="980"/>
      <c r="L1007" s="980"/>
      <c r="M1007" s="980"/>
      <c r="N1007" s="980"/>
      <c r="O1007" s="980"/>
      <c r="P1007" s="980"/>
      <c r="Q1007" s="981"/>
      <c r="R1007" s="159">
        <f>R957</f>
        <v>177.65</v>
      </c>
      <c r="S1007" s="498" t="s">
        <v>17</v>
      </c>
    </row>
    <row r="1008" spans="3:23">
      <c r="D1008" s="31"/>
      <c r="E1008" s="86"/>
      <c r="F1008" s="86"/>
      <c r="G1008" s="86"/>
      <c r="H1008" s="86"/>
      <c r="I1008" s="86"/>
      <c r="J1008" s="86"/>
      <c r="K1008" s="86"/>
      <c r="L1008" s="86"/>
      <c r="M1008" s="86"/>
      <c r="N1008" s="86"/>
      <c r="O1008" s="86"/>
      <c r="P1008" s="86"/>
      <c r="Q1008" s="86"/>
      <c r="R1008" s="158"/>
      <c r="S1008" s="403"/>
    </row>
    <row r="1009" spans="3:22">
      <c r="D1009" s="31"/>
      <c r="E1009" s="86"/>
      <c r="F1009" s="86"/>
      <c r="G1009" s="86"/>
      <c r="H1009" s="86"/>
      <c r="I1009" s="86"/>
      <c r="J1009" s="86"/>
      <c r="K1009" s="86"/>
      <c r="L1009" s="86"/>
      <c r="M1009" s="86"/>
      <c r="N1009" s="86"/>
      <c r="O1009" s="86"/>
      <c r="P1009" s="86"/>
      <c r="Q1009" s="86"/>
      <c r="R1009" s="158"/>
      <c r="S1009" s="403"/>
    </row>
    <row r="1010" spans="3:22" ht="12.75" customHeight="1">
      <c r="D1010" s="31"/>
      <c r="E1010" s="173" t="s">
        <v>353</v>
      </c>
      <c r="F1010" s="86"/>
      <c r="G1010" s="86"/>
      <c r="H1010" s="86"/>
      <c r="I1010" s="86"/>
      <c r="J1010" s="86"/>
      <c r="K1010" s="86"/>
      <c r="L1010" s="86"/>
      <c r="M1010" s="86"/>
      <c r="N1010" s="86"/>
      <c r="O1010" s="86"/>
      <c r="P1010" s="86"/>
      <c r="Q1010" s="86"/>
      <c r="R1010" s="158"/>
      <c r="S1010" s="403"/>
      <c r="U1010" s="472" t="s">
        <v>1192</v>
      </c>
    </row>
    <row r="1011" spans="3:22">
      <c r="E1011" s="86"/>
      <c r="F1011" s="86"/>
      <c r="G1011" s="86"/>
      <c r="H1011" s="86"/>
      <c r="I1011" s="86"/>
      <c r="J1011" s="86"/>
      <c r="K1011" s="86"/>
      <c r="L1011" s="86"/>
      <c r="M1011" s="86"/>
      <c r="N1011" s="86"/>
      <c r="O1011" s="86"/>
      <c r="P1011" s="86"/>
      <c r="Q1011" s="86"/>
      <c r="R1011" s="158"/>
      <c r="S1011" s="403"/>
      <c r="U1011" s="236">
        <v>0.05</v>
      </c>
      <c r="V1011" s="534" t="s">
        <v>0</v>
      </c>
    </row>
    <row r="1012" spans="3:22" ht="12.75" customHeight="1">
      <c r="D1012" s="31"/>
      <c r="E1012" s="974" t="s">
        <v>1273</v>
      </c>
      <c r="F1012" s="975"/>
      <c r="G1012" s="975"/>
      <c r="H1012" s="975"/>
      <c r="I1012" s="975"/>
      <c r="J1012" s="975"/>
      <c r="K1012" s="975"/>
      <c r="L1012" s="975"/>
      <c r="M1012" s="975"/>
      <c r="N1012" s="975"/>
      <c r="O1012" s="975"/>
      <c r="P1012" s="975"/>
      <c r="Q1012" s="976"/>
      <c r="R1012" s="157">
        <f>R957*U1011</f>
        <v>8.8825000000000003</v>
      </c>
      <c r="S1012" s="156" t="s">
        <v>18</v>
      </c>
    </row>
    <row r="1013" spans="3:22" ht="12.75" customHeight="1">
      <c r="D1013" s="31"/>
      <c r="E1013" s="123"/>
      <c r="F1013" s="123"/>
      <c r="G1013" s="123"/>
      <c r="H1013" s="123"/>
      <c r="I1013" s="123"/>
      <c r="J1013" s="123"/>
      <c r="K1013" s="123"/>
      <c r="L1013" s="123"/>
      <c r="M1013" s="123"/>
      <c r="N1013" s="123"/>
      <c r="O1013" s="123"/>
      <c r="P1013" s="123"/>
      <c r="Q1013" s="123"/>
      <c r="R1013" s="158"/>
      <c r="S1013" s="403"/>
    </row>
    <row r="1014" spans="3:22">
      <c r="D1014" s="403"/>
      <c r="E1014" s="86"/>
      <c r="F1014" s="395"/>
      <c r="G1014" s="395"/>
      <c r="H1014" s="395"/>
      <c r="I1014" s="395"/>
      <c r="J1014" s="395"/>
      <c r="K1014" s="395"/>
      <c r="L1014" s="395"/>
      <c r="M1014" s="395"/>
      <c r="N1014" s="395"/>
      <c r="O1014" s="395"/>
      <c r="P1014" s="395"/>
      <c r="Q1014" s="395"/>
      <c r="R1014" s="158"/>
      <c r="S1014" s="403"/>
    </row>
    <row r="1015" spans="3:22">
      <c r="D1015" s="403"/>
      <c r="E1015" s="86" t="s">
        <v>797</v>
      </c>
      <c r="F1015" s="395"/>
      <c r="G1015" s="395"/>
      <c r="H1015" s="395"/>
      <c r="I1015" s="395"/>
      <c r="J1015" s="395"/>
      <c r="K1015" s="395"/>
      <c r="L1015" s="395"/>
      <c r="M1015" s="395"/>
      <c r="N1015" s="395"/>
      <c r="O1015" s="395"/>
      <c r="P1015" s="395"/>
      <c r="Q1015" s="395"/>
      <c r="R1015" s="158"/>
      <c r="S1015" s="403"/>
    </row>
    <row r="1016" spans="3:22">
      <c r="D1016" s="403"/>
      <c r="E1016" s="86"/>
      <c r="F1016" s="395"/>
      <c r="G1016" s="395"/>
      <c r="H1016" s="395"/>
      <c r="I1016" s="395"/>
      <c r="J1016" s="395"/>
      <c r="K1016" s="395"/>
      <c r="L1016" s="395"/>
      <c r="M1016" s="395"/>
      <c r="N1016" s="395"/>
      <c r="O1016" s="395"/>
      <c r="P1016" s="395"/>
      <c r="Q1016" s="395"/>
      <c r="R1016" s="158"/>
      <c r="S1016" s="403"/>
      <c r="U1016" s="472"/>
    </row>
    <row r="1017" spans="3:22">
      <c r="D1017" s="403"/>
      <c r="E1017" s="86" t="s">
        <v>1274</v>
      </c>
      <c r="F1017" s="395"/>
      <c r="G1017" s="395"/>
      <c r="H1017" s="395"/>
      <c r="I1017" s="395"/>
      <c r="J1017" s="395"/>
      <c r="K1017" s="395"/>
      <c r="L1017" s="395"/>
      <c r="M1017" s="395"/>
      <c r="N1017" s="395"/>
      <c r="O1017" s="395"/>
      <c r="P1017" s="395"/>
      <c r="Q1017" s="395"/>
      <c r="R1017" s="157">
        <f>R962</f>
        <v>107.95</v>
      </c>
      <c r="S1017" s="156" t="s">
        <v>18</v>
      </c>
      <c r="U1017" s="236"/>
      <c r="V1017" s="534"/>
    </row>
    <row r="1018" spans="3:22">
      <c r="D1018" s="403"/>
      <c r="E1018" s="86"/>
      <c r="F1018" s="395"/>
      <c r="G1018" s="395"/>
      <c r="H1018" s="395"/>
      <c r="I1018" s="395"/>
      <c r="J1018" s="395"/>
      <c r="K1018" s="395"/>
      <c r="L1018" s="395"/>
      <c r="M1018" s="395"/>
      <c r="N1018" s="395"/>
      <c r="O1018" s="395"/>
      <c r="P1018" s="395"/>
      <c r="Q1018" s="395"/>
      <c r="R1018" s="158"/>
      <c r="S1018" s="403"/>
      <c r="U1018" s="236"/>
      <c r="V1018" s="534"/>
    </row>
    <row r="1019" spans="3:22">
      <c r="D1019" s="403"/>
      <c r="E1019" s="86"/>
      <c r="F1019" s="395"/>
      <c r="G1019" s="395"/>
      <c r="H1019" s="395"/>
      <c r="I1019" s="395"/>
      <c r="J1019" s="395"/>
      <c r="K1019" s="395"/>
      <c r="L1019" s="395"/>
      <c r="M1019" s="395"/>
      <c r="N1019" s="395"/>
      <c r="O1019" s="395"/>
      <c r="P1019" s="395"/>
      <c r="Q1019" s="395"/>
      <c r="R1019" s="158"/>
      <c r="S1019" s="403"/>
      <c r="U1019" s="236"/>
      <c r="V1019" s="534"/>
    </row>
    <row r="1020" spans="3:22">
      <c r="C1020" s="205"/>
      <c r="D1020" s="609" t="s">
        <v>1285</v>
      </c>
      <c r="E1020" s="86"/>
      <c r="F1020" s="395"/>
      <c r="G1020" s="395"/>
      <c r="H1020" s="395"/>
      <c r="I1020" s="395"/>
      <c r="J1020" s="395"/>
      <c r="K1020" s="395"/>
      <c r="L1020" s="395"/>
      <c r="M1020" s="395"/>
      <c r="N1020" s="395"/>
      <c r="O1020" s="395"/>
      <c r="P1020" s="395"/>
      <c r="Q1020" s="395"/>
      <c r="R1020" s="158"/>
      <c r="S1020" s="403"/>
      <c r="U1020" s="236"/>
      <c r="V1020" s="534"/>
    </row>
    <row r="1021" spans="3:22">
      <c r="D1021" s="609"/>
      <c r="E1021" s="86"/>
      <c r="F1021" s="395"/>
      <c r="G1021" s="395"/>
      <c r="H1021" s="395"/>
      <c r="I1021" s="395"/>
      <c r="J1021" s="395"/>
      <c r="K1021" s="395"/>
      <c r="L1021" s="395"/>
      <c r="M1021" s="395"/>
      <c r="N1021" s="395"/>
      <c r="O1021" s="395"/>
      <c r="P1021" s="395"/>
      <c r="Q1021" s="395"/>
      <c r="R1021" s="158"/>
      <c r="S1021" s="403"/>
      <c r="U1021" s="236"/>
      <c r="V1021" s="534"/>
    </row>
    <row r="1022" spans="3:22" ht="36">
      <c r="D1022" s="1020" t="s">
        <v>102</v>
      </c>
      <c r="E1022" s="1020"/>
      <c r="F1022" s="1020"/>
      <c r="G1022" s="1020"/>
      <c r="H1022" s="1020"/>
      <c r="I1022" s="1020"/>
      <c r="J1022" s="1020"/>
      <c r="K1022" s="1020"/>
      <c r="L1022" s="1020"/>
      <c r="M1022" s="1020"/>
      <c r="N1022" s="395"/>
      <c r="O1022" s="395"/>
      <c r="P1022" s="395" t="s">
        <v>1260</v>
      </c>
      <c r="Q1022" s="562">
        <v>50</v>
      </c>
      <c r="R1022" s="158" t="s">
        <v>0</v>
      </c>
      <c r="S1022" s="403"/>
      <c r="U1022" s="236"/>
      <c r="V1022" s="534"/>
    </row>
    <row r="1023" spans="3:22">
      <c r="D1023" s="1003" t="s">
        <v>103</v>
      </c>
      <c r="E1023" s="1003"/>
      <c r="F1023" s="1003"/>
      <c r="G1023" s="1003"/>
      <c r="H1023" s="1003"/>
      <c r="I1023" s="1003" t="s">
        <v>1</v>
      </c>
      <c r="J1023" s="1003"/>
      <c r="K1023" s="1003"/>
      <c r="L1023" s="1003"/>
      <c r="M1023" s="1003"/>
      <c r="N1023" s="395"/>
      <c r="O1023" s="395"/>
      <c r="P1023" s="395"/>
      <c r="Q1023" s="395"/>
      <c r="R1023" s="158"/>
      <c r="S1023" s="403"/>
      <c r="U1023" s="236"/>
      <c r="V1023" s="534"/>
    </row>
    <row r="1024" spans="3:22">
      <c r="D1024" s="1006"/>
      <c r="E1024" s="1006"/>
      <c r="F1024" s="1006"/>
      <c r="G1024" s="1006"/>
      <c r="H1024" s="1006"/>
      <c r="I1024" s="1006"/>
      <c r="J1024" s="1006"/>
      <c r="K1024" s="1006"/>
      <c r="L1024" s="1006"/>
      <c r="M1024" s="1006"/>
      <c r="N1024" s="395"/>
      <c r="O1024" s="395"/>
      <c r="P1024" s="395"/>
      <c r="Q1024" s="395"/>
      <c r="R1024" s="158"/>
      <c r="S1024" s="403"/>
      <c r="U1024" s="236"/>
      <c r="V1024" s="534"/>
    </row>
    <row r="1025" spans="3:22">
      <c r="D1025" s="544">
        <v>4</v>
      </c>
      <c r="E1025" s="542" t="s">
        <v>108</v>
      </c>
      <c r="F1025" s="993" t="s">
        <v>109</v>
      </c>
      <c r="G1025" s="993"/>
      <c r="H1025" s="993"/>
      <c r="I1025" s="544">
        <f>(($F$852+$F$853)/$Q$1022)*D1025</f>
        <v>26.88</v>
      </c>
      <c r="J1025" s="542" t="s">
        <v>108</v>
      </c>
      <c r="K1025" s="993" t="s">
        <v>109</v>
      </c>
      <c r="L1025" s="993"/>
      <c r="M1025" s="993"/>
      <c r="N1025" s="395"/>
      <c r="O1025" s="395"/>
      <c r="P1025" s="395"/>
      <c r="Q1025" s="395"/>
      <c r="R1025" s="158"/>
      <c r="S1025" s="403"/>
      <c r="U1025" s="236"/>
      <c r="V1025" s="534"/>
    </row>
    <row r="1026" spans="3:22">
      <c r="D1026" s="544">
        <v>8</v>
      </c>
      <c r="E1026" s="542" t="s">
        <v>108</v>
      </c>
      <c r="F1026" s="993" t="s">
        <v>110</v>
      </c>
      <c r="G1026" s="993"/>
      <c r="H1026" s="993"/>
      <c r="I1026" s="544">
        <f t="shared" ref="I1026" si="17">(($F$852+$F$853)/$Q$1022)*D1026</f>
        <v>53.76</v>
      </c>
      <c r="J1026" s="542" t="s">
        <v>108</v>
      </c>
      <c r="K1026" s="993" t="s">
        <v>110</v>
      </c>
      <c r="L1026" s="993"/>
      <c r="M1026" s="993"/>
      <c r="N1026" s="395"/>
      <c r="O1026" s="395"/>
      <c r="P1026" s="395"/>
      <c r="Q1026" s="395"/>
      <c r="R1026" s="158"/>
      <c r="S1026" s="403"/>
      <c r="U1026" s="236"/>
      <c r="V1026" s="534"/>
    </row>
    <row r="1027" spans="3:22">
      <c r="D1027" s="544">
        <v>8</v>
      </c>
      <c r="E1027" s="542" t="s">
        <v>108</v>
      </c>
      <c r="F1027" s="993" t="s">
        <v>113</v>
      </c>
      <c r="G1027" s="993"/>
      <c r="H1027" s="993"/>
      <c r="I1027" s="544">
        <f>8*2</f>
        <v>16</v>
      </c>
      <c r="J1027" s="542" t="s">
        <v>108</v>
      </c>
      <c r="K1027" s="993" t="s">
        <v>113</v>
      </c>
      <c r="L1027" s="993"/>
      <c r="M1027" s="993"/>
      <c r="N1027" s="395"/>
      <c r="O1027" s="973" t="s">
        <v>1419</v>
      </c>
      <c r="P1027" s="973"/>
      <c r="Q1027" s="395"/>
      <c r="R1027" s="158"/>
      <c r="S1027" s="403"/>
      <c r="U1027" s="236"/>
      <c r="V1027" s="534"/>
    </row>
    <row r="1028" spans="3:22" ht="26.25" customHeight="1">
      <c r="D1028" s="544">
        <v>8</v>
      </c>
      <c r="E1028" s="542" t="s">
        <v>108</v>
      </c>
      <c r="F1028" s="993" t="s">
        <v>1221</v>
      </c>
      <c r="G1028" s="993"/>
      <c r="H1028" s="993"/>
      <c r="I1028" s="544">
        <f>8*2</f>
        <v>16</v>
      </c>
      <c r="J1028" s="542" t="s">
        <v>108</v>
      </c>
      <c r="K1028" s="993" t="s">
        <v>1221</v>
      </c>
      <c r="L1028" s="993"/>
      <c r="M1028" s="993"/>
      <c r="N1028" s="395"/>
      <c r="O1028" s="973"/>
      <c r="P1028" s="973"/>
      <c r="Q1028" s="395"/>
      <c r="R1028" s="158"/>
      <c r="S1028" s="403"/>
      <c r="U1028" s="236"/>
      <c r="V1028" s="534"/>
    </row>
    <row r="1029" spans="3:22">
      <c r="D1029" s="174"/>
      <c r="E1029" s="123"/>
      <c r="F1029" s="395"/>
      <c r="G1029" s="395"/>
      <c r="H1029" s="395"/>
      <c r="I1029" s="395"/>
      <c r="J1029" s="395"/>
      <c r="K1029" s="395"/>
      <c r="L1029" s="395"/>
      <c r="M1029" s="395"/>
      <c r="N1029" s="395"/>
      <c r="O1029" s="395"/>
      <c r="P1029" s="395"/>
      <c r="Q1029" s="395"/>
      <c r="R1029" s="158"/>
      <c r="S1029" s="403"/>
      <c r="U1029" s="236"/>
      <c r="V1029" s="534"/>
    </row>
    <row r="1030" spans="3:22">
      <c r="D1030" s="174"/>
      <c r="E1030" s="123"/>
      <c r="F1030" s="395"/>
      <c r="G1030" s="395"/>
      <c r="H1030" s="395"/>
      <c r="I1030" s="395"/>
      <c r="J1030" s="395"/>
      <c r="K1030" s="395"/>
      <c r="L1030" s="395"/>
      <c r="M1030" s="395"/>
      <c r="N1030" s="395"/>
      <c r="O1030" s="395"/>
      <c r="P1030" s="395"/>
      <c r="Q1030" s="395"/>
      <c r="R1030" s="158"/>
      <c r="S1030" s="403"/>
      <c r="U1030" s="236"/>
      <c r="V1030" s="534"/>
    </row>
    <row r="1031" spans="3:22">
      <c r="D1031" s="403"/>
      <c r="E1031" s="123" t="s">
        <v>1261</v>
      </c>
      <c r="F1031" s="395"/>
      <c r="G1031" s="395"/>
      <c r="H1031" s="395"/>
      <c r="I1031" s="395"/>
      <c r="J1031" s="395"/>
      <c r="K1031" s="395"/>
      <c r="L1031" s="395"/>
      <c r="M1031" s="395"/>
      <c r="N1031" s="395"/>
      <c r="O1031" s="395"/>
      <c r="P1031" s="395"/>
      <c r="Q1031" s="395"/>
      <c r="R1031" s="157">
        <f>I1025</f>
        <v>26.88</v>
      </c>
      <c r="S1031" s="11" t="s">
        <v>352</v>
      </c>
      <c r="U1031" s="236"/>
      <c r="V1031" s="534"/>
    </row>
    <row r="1032" spans="3:22">
      <c r="D1032" s="403"/>
      <c r="E1032" s="8" t="s">
        <v>1262</v>
      </c>
      <c r="F1032" s="398"/>
      <c r="G1032" s="399"/>
      <c r="H1032" s="399"/>
      <c r="I1032" s="399"/>
      <c r="J1032" s="399"/>
      <c r="K1032" s="399"/>
      <c r="L1032" s="399"/>
      <c r="M1032" s="399"/>
      <c r="N1032" s="399"/>
      <c r="O1032" s="399"/>
      <c r="P1032" s="399"/>
      <c r="Q1032" s="399"/>
      <c r="R1032" s="157">
        <f>I1026</f>
        <v>53.76</v>
      </c>
      <c r="S1032" s="11" t="s">
        <v>352</v>
      </c>
      <c r="U1032" s="236"/>
      <c r="V1032" s="534"/>
    </row>
    <row r="1033" spans="3:22">
      <c r="D1033" s="403"/>
      <c r="E1033" s="8" t="s">
        <v>1412</v>
      </c>
      <c r="F1033" s="398"/>
      <c r="G1033" s="399"/>
      <c r="H1033" s="399"/>
      <c r="I1033" s="399"/>
      <c r="J1033" s="399"/>
      <c r="K1033" s="399"/>
      <c r="L1033" s="399"/>
      <c r="M1033" s="399"/>
      <c r="N1033" s="399"/>
      <c r="O1033" s="399"/>
      <c r="P1033" s="399"/>
      <c r="Q1033" s="399"/>
      <c r="R1033" s="157">
        <f t="shared" ref="R1033:R1034" si="18">I1027</f>
        <v>16</v>
      </c>
      <c r="S1033" s="11" t="s">
        <v>352</v>
      </c>
      <c r="U1033" s="236"/>
      <c r="V1033" s="534"/>
    </row>
    <row r="1034" spans="3:22">
      <c r="D1034" s="403"/>
      <c r="E1034" s="8" t="s">
        <v>1413</v>
      </c>
      <c r="F1034" s="398"/>
      <c r="G1034" s="399"/>
      <c r="H1034" s="399"/>
      <c r="I1034" s="399"/>
      <c r="J1034" s="399"/>
      <c r="K1034" s="399"/>
      <c r="L1034" s="399"/>
      <c r="M1034" s="399"/>
      <c r="N1034" s="399"/>
      <c r="O1034" s="399"/>
      <c r="P1034" s="399"/>
      <c r="Q1034" s="399"/>
      <c r="R1034" s="157">
        <f t="shared" si="18"/>
        <v>16</v>
      </c>
      <c r="S1034" s="11" t="s">
        <v>352</v>
      </c>
      <c r="U1034" s="236"/>
      <c r="V1034" s="534"/>
    </row>
    <row r="1035" spans="3:22">
      <c r="D1035" s="403"/>
      <c r="E1035" s="86"/>
      <c r="F1035" s="395"/>
      <c r="G1035" s="395"/>
      <c r="H1035" s="395"/>
      <c r="I1035" s="395"/>
      <c r="J1035" s="395"/>
      <c r="K1035" s="395"/>
      <c r="L1035" s="395"/>
      <c r="M1035" s="395"/>
      <c r="N1035" s="395"/>
      <c r="O1035" s="395"/>
      <c r="P1035" s="395"/>
      <c r="Q1035" s="395"/>
      <c r="R1035" s="158"/>
      <c r="S1035" s="403"/>
      <c r="U1035" s="236"/>
      <c r="V1035" s="534"/>
    </row>
    <row r="1036" spans="3:22">
      <c r="D1036" s="403"/>
      <c r="E1036" s="86"/>
      <c r="F1036" s="395"/>
      <c r="G1036" s="395"/>
      <c r="H1036" s="395"/>
      <c r="I1036" s="395"/>
      <c r="J1036" s="395"/>
      <c r="K1036" s="395"/>
      <c r="L1036" s="395"/>
      <c r="M1036" s="395"/>
      <c r="N1036" s="395"/>
      <c r="O1036" s="395"/>
      <c r="P1036" s="395"/>
      <c r="Q1036" s="395"/>
      <c r="R1036" s="158"/>
      <c r="S1036" s="403"/>
      <c r="U1036" s="236"/>
      <c r="V1036" s="534"/>
    </row>
    <row r="1037" spans="3:22">
      <c r="D1037" s="609" t="s">
        <v>1420</v>
      </c>
      <c r="E1037" s="86"/>
      <c r="F1037" s="395"/>
      <c r="G1037" s="395"/>
      <c r="H1037" s="395"/>
      <c r="I1037" s="395"/>
      <c r="J1037" s="395"/>
      <c r="K1037" s="395"/>
      <c r="L1037" s="395"/>
      <c r="M1037" s="395"/>
      <c r="N1037" s="395"/>
      <c r="O1037" s="395"/>
      <c r="P1037" s="395"/>
      <c r="Q1037" s="395"/>
      <c r="R1037" s="158"/>
      <c r="S1037" s="403"/>
      <c r="U1037" s="236"/>
      <c r="V1037" s="534"/>
    </row>
    <row r="1038" spans="3:22">
      <c r="D1038" s="609"/>
      <c r="E1038" s="86"/>
      <c r="F1038" s="395"/>
      <c r="G1038" s="395"/>
      <c r="H1038" s="395"/>
      <c r="I1038" s="395"/>
      <c r="J1038" s="395"/>
      <c r="K1038" s="395"/>
      <c r="L1038" s="395"/>
      <c r="M1038" s="395"/>
      <c r="N1038" s="395"/>
      <c r="O1038" s="395"/>
      <c r="P1038" s="395"/>
      <c r="Q1038" s="395"/>
      <c r="R1038" s="158"/>
      <c r="S1038" s="403"/>
      <c r="U1038" s="236"/>
      <c r="V1038" s="534"/>
    </row>
    <row r="1039" spans="3:22">
      <c r="C1039" s="205" t="s">
        <v>1236</v>
      </c>
      <c r="D1039" s="396" t="s">
        <v>427</v>
      </c>
      <c r="E1039" s="86"/>
      <c r="F1039" s="395"/>
      <c r="G1039" s="395"/>
      <c r="H1039" s="395"/>
      <c r="I1039" s="395"/>
      <c r="J1039" s="395"/>
      <c r="K1039" s="395"/>
      <c r="L1039" s="395"/>
      <c r="M1039" s="395"/>
      <c r="N1039" s="395"/>
      <c r="O1039" s="395"/>
      <c r="P1039" s="395"/>
      <c r="Q1039" s="395"/>
      <c r="R1039" s="158"/>
      <c r="S1039" s="403"/>
      <c r="U1039" s="236"/>
      <c r="V1039" s="534"/>
    </row>
    <row r="1040" spans="3:22">
      <c r="C1040" s="205"/>
      <c r="D1040" s="174"/>
      <c r="E1040" s="86"/>
      <c r="F1040" s="395"/>
      <c r="G1040" s="395"/>
      <c r="H1040" s="395"/>
      <c r="I1040" s="395"/>
      <c r="J1040" s="395"/>
      <c r="K1040" s="395"/>
      <c r="L1040" s="395"/>
      <c r="M1040" s="395"/>
      <c r="N1040" s="395"/>
      <c r="O1040" s="395"/>
      <c r="P1040" s="395"/>
      <c r="Q1040" s="395"/>
      <c r="R1040" s="158"/>
      <c r="S1040" s="403"/>
      <c r="U1040" s="236"/>
      <c r="V1040" s="534"/>
    </row>
    <row r="1041" spans="4:22">
      <c r="D1041" s="403" t="s">
        <v>1238</v>
      </c>
      <c r="E1041" s="86" t="s">
        <v>21</v>
      </c>
      <c r="F1041" s="395"/>
      <c r="G1041" s="395"/>
      <c r="H1041" s="395"/>
      <c r="I1041" s="395"/>
      <c r="J1041" s="395"/>
      <c r="K1041" s="395"/>
      <c r="L1041" s="395"/>
      <c r="M1041" s="395"/>
      <c r="N1041" s="395"/>
      <c r="O1041" s="395"/>
      <c r="P1041" s="395"/>
      <c r="Q1041" s="395"/>
      <c r="R1041" s="157">
        <f>R951</f>
        <v>418</v>
      </c>
      <c r="S1041" s="403" t="s">
        <v>0</v>
      </c>
      <c r="U1041" s="236"/>
      <c r="V1041" s="534"/>
    </row>
    <row r="1042" spans="4:22">
      <c r="D1042" s="403" t="s">
        <v>1239</v>
      </c>
      <c r="E1042" s="86" t="s">
        <v>22</v>
      </c>
      <c r="F1042" s="395"/>
      <c r="G1042" s="395"/>
      <c r="H1042" s="395"/>
      <c r="I1042" s="395"/>
      <c r="J1042" s="395"/>
      <c r="K1042" s="395"/>
      <c r="L1042" s="395"/>
      <c r="M1042" s="395"/>
      <c r="N1042" s="395"/>
      <c r="O1042" s="395"/>
      <c r="P1042" s="395"/>
      <c r="Q1042" s="395"/>
      <c r="R1042" s="157">
        <f>R957</f>
        <v>177.65</v>
      </c>
      <c r="S1042" s="403" t="s">
        <v>17</v>
      </c>
      <c r="U1042" s="236"/>
      <c r="V1042" s="534"/>
    </row>
    <row r="1043" spans="4:22">
      <c r="D1043" s="403" t="s">
        <v>1241</v>
      </c>
      <c r="E1043" s="86" t="s">
        <v>1276</v>
      </c>
      <c r="F1043" s="395"/>
      <c r="G1043" s="395"/>
      <c r="H1043" s="395"/>
      <c r="I1043" s="395"/>
      <c r="J1043" s="395"/>
      <c r="K1043" s="395"/>
      <c r="L1043" s="395"/>
      <c r="M1043" s="395"/>
      <c r="N1043" s="395"/>
      <c r="O1043" s="395"/>
      <c r="P1043" s="395"/>
      <c r="Q1043" s="395"/>
      <c r="R1043" s="157">
        <f>R962</f>
        <v>107.95</v>
      </c>
      <c r="S1043" s="403" t="s">
        <v>17</v>
      </c>
      <c r="U1043" s="236"/>
      <c r="V1043" s="534"/>
    </row>
    <row r="1044" spans="4:22">
      <c r="D1044" s="403" t="s">
        <v>1242</v>
      </c>
      <c r="E1044" s="86" t="s">
        <v>178</v>
      </c>
      <c r="F1044" s="395"/>
      <c r="G1044" s="395"/>
      <c r="H1044" s="395"/>
      <c r="I1044" s="395"/>
      <c r="J1044" s="395"/>
      <c r="K1044" s="395"/>
      <c r="L1044" s="395"/>
      <c r="M1044" s="395"/>
      <c r="N1044" s="395"/>
      <c r="O1044" s="395"/>
      <c r="P1044" s="395"/>
      <c r="Q1044" s="395"/>
      <c r="R1044" s="157">
        <f>R896+R967</f>
        <v>158</v>
      </c>
      <c r="S1044" s="403" t="s">
        <v>179</v>
      </c>
      <c r="U1044" s="236"/>
      <c r="V1044" s="534"/>
    </row>
    <row r="1045" spans="4:22">
      <c r="D1045" s="403" t="s">
        <v>1243</v>
      </c>
      <c r="E1045" s="86" t="s">
        <v>795</v>
      </c>
      <c r="F1045" s="395"/>
      <c r="G1045" s="395"/>
      <c r="H1045" s="395"/>
      <c r="I1045" s="395"/>
      <c r="J1045" s="395"/>
      <c r="K1045" s="395"/>
      <c r="L1045" s="395"/>
      <c r="M1045" s="395"/>
      <c r="N1045" s="395"/>
      <c r="O1045" s="395"/>
      <c r="P1045" s="395"/>
      <c r="Q1045" s="395"/>
      <c r="R1045" s="157">
        <f>R901+R972</f>
        <v>97.75</v>
      </c>
      <c r="S1045" s="403" t="s">
        <v>18</v>
      </c>
      <c r="U1045" s="236"/>
      <c r="V1045" s="534"/>
    </row>
    <row r="1046" spans="4:22">
      <c r="D1046" s="403" t="s">
        <v>1244</v>
      </c>
      <c r="E1046" s="86" t="s">
        <v>1283</v>
      </c>
      <c r="F1046" s="395"/>
      <c r="G1046" s="395"/>
      <c r="H1046" s="395"/>
      <c r="I1046" s="395"/>
      <c r="J1046" s="395"/>
      <c r="K1046" s="395"/>
      <c r="L1046" s="395"/>
      <c r="M1046" s="395"/>
      <c r="N1046" s="395"/>
      <c r="O1046" s="395"/>
      <c r="P1046" s="395"/>
      <c r="Q1046" s="395"/>
      <c r="R1046" s="157">
        <f>R910+R981</f>
        <v>287.5</v>
      </c>
      <c r="S1046" s="403" t="s">
        <v>17</v>
      </c>
      <c r="U1046" s="236"/>
      <c r="V1046" s="534"/>
    </row>
    <row r="1047" spans="4:22">
      <c r="D1047" s="403" t="s">
        <v>1245</v>
      </c>
      <c r="E1047" s="86" t="s">
        <v>207</v>
      </c>
      <c r="F1047" s="395"/>
      <c r="G1047" s="395"/>
      <c r="H1047" s="395"/>
      <c r="I1047" s="395"/>
      <c r="J1047" s="395"/>
      <c r="K1047" s="395"/>
      <c r="L1047" s="395"/>
      <c r="M1047" s="395"/>
      <c r="N1047" s="395"/>
      <c r="O1047" s="395"/>
      <c r="P1047" s="395"/>
      <c r="Q1047" s="395"/>
      <c r="R1047" s="157">
        <f>R915+R986</f>
        <v>97.75</v>
      </c>
      <c r="S1047" s="403" t="s">
        <v>18</v>
      </c>
      <c r="U1047" s="236"/>
      <c r="V1047" s="534"/>
    </row>
    <row r="1048" spans="4:22">
      <c r="D1048" s="403" t="s">
        <v>1246</v>
      </c>
      <c r="E1048" s="86" t="s">
        <v>1399</v>
      </c>
      <c r="F1048" s="395"/>
      <c r="G1048" s="395"/>
      <c r="H1048" s="395"/>
      <c r="I1048" s="395"/>
      <c r="J1048" s="395"/>
      <c r="K1048" s="395"/>
      <c r="L1048" s="395"/>
      <c r="M1048" s="395"/>
      <c r="N1048" s="395"/>
      <c r="O1048" s="395"/>
      <c r="P1048" s="395"/>
      <c r="Q1048" s="395"/>
      <c r="R1048" s="157">
        <f>R920+R991</f>
        <v>1445.927822522091</v>
      </c>
      <c r="S1048" s="403" t="s">
        <v>18</v>
      </c>
      <c r="U1048" s="236"/>
      <c r="V1048" s="534"/>
    </row>
    <row r="1049" spans="4:22">
      <c r="D1049" s="403" t="s">
        <v>1247</v>
      </c>
      <c r="E1049" s="86" t="s">
        <v>23</v>
      </c>
      <c r="F1049" s="395"/>
      <c r="G1049" s="395"/>
      <c r="H1049" s="395"/>
      <c r="I1049" s="395"/>
      <c r="J1049" s="395"/>
      <c r="K1049" s="395"/>
      <c r="L1049" s="395"/>
      <c r="M1049" s="395"/>
      <c r="N1049" s="395"/>
      <c r="O1049" s="395"/>
      <c r="P1049" s="395"/>
      <c r="Q1049" s="395"/>
      <c r="R1049" s="157">
        <f>R925+R996</f>
        <v>305.92217747790897</v>
      </c>
      <c r="S1049" s="403" t="s">
        <v>18</v>
      </c>
      <c r="U1049" s="236"/>
      <c r="V1049" s="534"/>
    </row>
    <row r="1050" spans="4:22">
      <c r="D1050" s="403" t="s">
        <v>1248</v>
      </c>
      <c r="E1050" s="86" t="s">
        <v>96</v>
      </c>
      <c r="F1050" s="395"/>
      <c r="G1050" s="395"/>
      <c r="H1050" s="395"/>
      <c r="I1050" s="395"/>
      <c r="J1050" s="395"/>
      <c r="K1050" s="395"/>
      <c r="L1050" s="395"/>
      <c r="M1050" s="395"/>
      <c r="N1050" s="395"/>
      <c r="O1050" s="395"/>
      <c r="P1050" s="395"/>
      <c r="Q1050" s="395"/>
      <c r="R1050" s="157">
        <f>R1002</f>
        <v>26.647500000000001</v>
      </c>
      <c r="S1050" s="403" t="s">
        <v>18</v>
      </c>
      <c r="U1050" s="236"/>
      <c r="V1050" s="534"/>
    </row>
    <row r="1051" spans="4:22">
      <c r="D1051" s="403" t="s">
        <v>1249</v>
      </c>
      <c r="E1051" s="86" t="s">
        <v>24</v>
      </c>
      <c r="F1051" s="395"/>
      <c r="G1051" s="395"/>
      <c r="H1051" s="395"/>
      <c r="I1051" s="395"/>
      <c r="J1051" s="395"/>
      <c r="K1051" s="395"/>
      <c r="L1051" s="395"/>
      <c r="M1051" s="395"/>
      <c r="N1051" s="395"/>
      <c r="O1051" s="395"/>
      <c r="P1051" s="395"/>
      <c r="Q1051" s="395"/>
      <c r="R1051" s="157">
        <f>R1007</f>
        <v>177.65</v>
      </c>
      <c r="S1051" s="403" t="s">
        <v>17</v>
      </c>
      <c r="U1051" s="236"/>
      <c r="V1051" s="534"/>
    </row>
    <row r="1052" spans="4:22">
      <c r="D1052" s="403" t="s">
        <v>1250</v>
      </c>
      <c r="E1052" s="86" t="s">
        <v>353</v>
      </c>
      <c r="F1052" s="395"/>
      <c r="G1052" s="395"/>
      <c r="H1052" s="395"/>
      <c r="I1052" s="395"/>
      <c r="J1052" s="395"/>
      <c r="K1052" s="395"/>
      <c r="L1052" s="395"/>
      <c r="M1052" s="395"/>
      <c r="N1052" s="395"/>
      <c r="O1052" s="395"/>
      <c r="P1052" s="395"/>
      <c r="Q1052" s="395"/>
      <c r="R1052" s="157">
        <f>R1012</f>
        <v>8.8825000000000003</v>
      </c>
      <c r="S1052" s="403" t="s">
        <v>18</v>
      </c>
      <c r="U1052" s="236"/>
      <c r="V1052" s="534"/>
    </row>
    <row r="1053" spans="4:22">
      <c r="D1053" s="403" t="s">
        <v>1251</v>
      </c>
      <c r="E1053" s="86" t="s">
        <v>797</v>
      </c>
      <c r="F1053" s="395"/>
      <c r="G1053" s="395"/>
      <c r="H1053" s="395"/>
      <c r="I1053" s="395"/>
      <c r="J1053" s="395"/>
      <c r="K1053" s="395"/>
      <c r="L1053" s="395"/>
      <c r="M1053" s="395"/>
      <c r="N1053" s="395"/>
      <c r="O1053" s="395"/>
      <c r="P1053" s="395"/>
      <c r="Q1053" s="395"/>
      <c r="R1053" s="157">
        <f>R1017</f>
        <v>107.95</v>
      </c>
      <c r="S1053" s="403" t="s">
        <v>17</v>
      </c>
      <c r="U1053" s="236"/>
      <c r="V1053" s="534"/>
    </row>
    <row r="1054" spans="4:22">
      <c r="D1054" s="403"/>
      <c r="E1054" s="86"/>
      <c r="F1054" s="395"/>
      <c r="G1054" s="395"/>
      <c r="H1054" s="395"/>
      <c r="I1054" s="395"/>
      <c r="J1054" s="395"/>
      <c r="K1054" s="395"/>
      <c r="L1054" s="395"/>
      <c r="M1054" s="395"/>
      <c r="N1054" s="395"/>
      <c r="O1054" s="395"/>
      <c r="P1054" s="395"/>
      <c r="Q1054" s="395"/>
      <c r="R1054" s="158"/>
      <c r="S1054" s="403"/>
      <c r="U1054" s="236"/>
      <c r="V1054" s="534"/>
    </row>
    <row r="1055" spans="4:22">
      <c r="D1055" s="403"/>
      <c r="E1055" s="86"/>
      <c r="F1055" s="395"/>
      <c r="G1055" s="395"/>
      <c r="H1055" s="395"/>
      <c r="I1055" s="395"/>
      <c r="J1055" s="395"/>
      <c r="K1055" s="395"/>
      <c r="L1055" s="395"/>
      <c r="M1055" s="395"/>
      <c r="N1055" s="395"/>
      <c r="O1055" s="395"/>
      <c r="P1055" s="395"/>
      <c r="Q1055" s="395"/>
      <c r="R1055" s="158"/>
      <c r="S1055" s="403"/>
      <c r="U1055" s="236"/>
      <c r="V1055" s="534"/>
    </row>
    <row r="1056" spans="4:22">
      <c r="D1056" s="609" t="s">
        <v>1420</v>
      </c>
      <c r="E1056" s="86"/>
      <c r="F1056" s="395"/>
      <c r="G1056" s="395"/>
      <c r="H1056" s="395"/>
      <c r="I1056" s="395"/>
      <c r="J1056" s="395"/>
      <c r="K1056" s="395"/>
      <c r="L1056" s="395"/>
      <c r="M1056" s="395"/>
      <c r="N1056" s="395"/>
      <c r="O1056" s="395"/>
      <c r="P1056" s="395"/>
      <c r="Q1056" s="395"/>
      <c r="R1056" s="158"/>
      <c r="S1056" s="403"/>
      <c r="U1056" s="236"/>
      <c r="V1056" s="534"/>
    </row>
    <row r="1057" spans="3:22">
      <c r="D1057" s="609"/>
      <c r="E1057" s="86"/>
      <c r="F1057" s="395"/>
      <c r="G1057" s="395"/>
      <c r="H1057" s="395"/>
      <c r="I1057" s="395"/>
      <c r="J1057" s="395"/>
      <c r="K1057" s="395"/>
      <c r="L1057" s="395"/>
      <c r="M1057" s="395"/>
      <c r="N1057" s="395"/>
      <c r="O1057" s="395"/>
      <c r="P1057" s="395"/>
      <c r="Q1057" s="395"/>
      <c r="R1057" s="158"/>
      <c r="S1057" s="403"/>
      <c r="U1057" s="236"/>
      <c r="V1057" s="534"/>
    </row>
    <row r="1058" spans="3:22">
      <c r="C1058" s="205" t="s">
        <v>1286</v>
      </c>
      <c r="D1058" s="609" t="s">
        <v>1146</v>
      </c>
      <c r="E1058" s="86"/>
      <c r="F1058" s="395"/>
      <c r="G1058" s="395"/>
      <c r="H1058" s="395"/>
      <c r="I1058" s="395"/>
      <c r="J1058" s="395"/>
      <c r="K1058" s="395"/>
      <c r="L1058" s="395"/>
      <c r="M1058" s="395"/>
      <c r="N1058" s="395"/>
      <c r="O1058" s="395"/>
      <c r="P1058" s="395"/>
      <c r="Q1058" s="395"/>
      <c r="R1058" s="158"/>
      <c r="S1058" s="403"/>
      <c r="U1058" s="236"/>
      <c r="V1058" s="534"/>
    </row>
    <row r="1059" spans="3:22">
      <c r="D1059" s="609"/>
      <c r="E1059" s="86"/>
      <c r="F1059" s="395"/>
      <c r="G1059" s="395"/>
      <c r="H1059" s="395"/>
      <c r="I1059" s="395"/>
      <c r="J1059" s="395"/>
      <c r="K1059" s="395"/>
      <c r="L1059" s="395"/>
      <c r="M1059" s="395"/>
      <c r="N1059" s="395"/>
      <c r="O1059" s="395"/>
      <c r="P1059" s="395"/>
      <c r="Q1059" s="395"/>
      <c r="R1059" s="158"/>
      <c r="S1059" s="403"/>
      <c r="U1059" s="236"/>
      <c r="V1059" s="534"/>
    </row>
    <row r="1060" spans="3:22">
      <c r="D1060" s="403" t="s">
        <v>1287</v>
      </c>
      <c r="E1060" s="86" t="s">
        <v>1110</v>
      </c>
      <c r="F1060" s="395"/>
      <c r="G1060" s="395"/>
      <c r="H1060" s="395"/>
      <c r="I1060" s="395"/>
      <c r="J1060" s="395"/>
      <c r="K1060" s="395"/>
      <c r="L1060" s="395"/>
      <c r="M1060" s="395"/>
      <c r="N1060" s="395"/>
      <c r="O1060" s="395"/>
      <c r="P1060" s="395"/>
      <c r="Q1060" s="395"/>
      <c r="R1060" s="157">
        <f>R939+R1031</f>
        <v>73.394285714285715</v>
      </c>
      <c r="S1060" s="403" t="s">
        <v>352</v>
      </c>
      <c r="U1060" s="236"/>
      <c r="V1060" s="534"/>
    </row>
    <row r="1061" spans="3:22">
      <c r="D1061" s="403" t="s">
        <v>1288</v>
      </c>
      <c r="E1061" s="86" t="s">
        <v>1112</v>
      </c>
      <c r="F1061" s="395"/>
      <c r="G1061" s="395"/>
      <c r="H1061" s="395"/>
      <c r="I1061" s="395"/>
      <c r="J1061" s="395"/>
      <c r="K1061" s="395"/>
      <c r="L1061" s="395"/>
      <c r="M1061" s="395"/>
      <c r="N1061" s="395"/>
      <c r="O1061" s="395"/>
      <c r="P1061" s="395"/>
      <c r="Q1061" s="395"/>
      <c r="R1061" s="157">
        <f>R940+R1032</f>
        <v>146.78857142857143</v>
      </c>
      <c r="S1061" s="403" t="s">
        <v>352</v>
      </c>
      <c r="U1061" s="236"/>
      <c r="V1061" s="534"/>
    </row>
    <row r="1062" spans="3:22">
      <c r="D1062" s="403" t="s">
        <v>1289</v>
      </c>
      <c r="E1062" s="86" t="s">
        <v>1416</v>
      </c>
      <c r="F1062" s="395"/>
      <c r="G1062" s="395"/>
      <c r="H1062" s="395"/>
      <c r="I1062" s="395"/>
      <c r="J1062" s="395"/>
      <c r="K1062" s="395"/>
      <c r="L1062" s="395"/>
      <c r="M1062" s="395"/>
      <c r="N1062" s="395"/>
      <c r="O1062" s="395"/>
      <c r="P1062" s="395"/>
      <c r="Q1062" s="395"/>
      <c r="R1062" s="157">
        <f>R941+R1033</f>
        <v>32</v>
      </c>
      <c r="S1062" s="403" t="s">
        <v>352</v>
      </c>
      <c r="U1062" s="236"/>
      <c r="V1062" s="534"/>
    </row>
    <row r="1063" spans="3:22">
      <c r="D1063" s="403" t="s">
        <v>1290</v>
      </c>
      <c r="E1063" s="86" t="s">
        <v>1417</v>
      </c>
      <c r="F1063" s="395"/>
      <c r="G1063" s="395"/>
      <c r="H1063" s="395"/>
      <c r="I1063" s="395"/>
      <c r="J1063" s="395"/>
      <c r="K1063" s="395"/>
      <c r="L1063" s="395"/>
      <c r="M1063" s="395"/>
      <c r="N1063" s="395"/>
      <c r="O1063" s="395"/>
      <c r="P1063" s="395"/>
      <c r="Q1063" s="395"/>
      <c r="R1063" s="157">
        <f>R942+R1034</f>
        <v>32</v>
      </c>
      <c r="S1063" s="403" t="s">
        <v>352</v>
      </c>
      <c r="U1063" s="236"/>
      <c r="V1063" s="534"/>
    </row>
    <row r="1064" spans="3:22">
      <c r="D1064" s="403"/>
      <c r="E1064" s="86"/>
      <c r="F1064" s="395"/>
      <c r="G1064" s="395"/>
      <c r="H1064" s="395"/>
      <c r="I1064" s="395"/>
      <c r="J1064" s="395"/>
      <c r="K1064" s="395"/>
      <c r="L1064" s="395"/>
      <c r="M1064" s="395"/>
      <c r="N1064" s="395"/>
      <c r="O1064" s="395"/>
      <c r="P1064" s="395"/>
      <c r="Q1064" s="395"/>
      <c r="R1064" s="158"/>
      <c r="S1064" s="403"/>
      <c r="U1064" s="236"/>
      <c r="V1064" s="534"/>
    </row>
    <row r="1065" spans="3:22">
      <c r="D1065" s="403"/>
      <c r="E1065" s="86"/>
      <c r="F1065" s="395"/>
      <c r="G1065" s="395"/>
      <c r="H1065" s="395"/>
      <c r="I1065" s="395"/>
      <c r="J1065" s="395"/>
      <c r="K1065" s="395"/>
      <c r="L1065" s="395"/>
      <c r="M1065" s="395"/>
      <c r="N1065" s="395"/>
      <c r="O1065" s="395"/>
      <c r="P1065" s="395"/>
      <c r="Q1065" s="395"/>
      <c r="R1065" s="158"/>
      <c r="S1065" s="403"/>
      <c r="U1065" s="236"/>
      <c r="V1065" s="534"/>
    </row>
    <row r="1066" spans="3:22">
      <c r="C1066" s="132" t="s">
        <v>1296</v>
      </c>
      <c r="D1066" s="476" t="s">
        <v>162</v>
      </c>
      <c r="E1066" s="477"/>
      <c r="F1066" s="477"/>
      <c r="G1066" s="477"/>
      <c r="H1066" s="504"/>
      <c r="U1066" s="236"/>
      <c r="V1066" s="534"/>
    </row>
    <row r="1067" spans="3:22">
      <c r="U1067" s="236"/>
      <c r="V1067" s="534"/>
    </row>
    <row r="1068" spans="3:22">
      <c r="D1068" s="11" t="s">
        <v>1297</v>
      </c>
      <c r="E1068" s="8" t="s">
        <v>49</v>
      </c>
      <c r="F1068" s="180"/>
      <c r="G1068" s="180"/>
      <c r="H1068" s="180"/>
      <c r="I1068" s="180"/>
      <c r="J1068" s="180"/>
      <c r="K1068" s="180"/>
      <c r="L1068" s="180"/>
      <c r="M1068" s="180"/>
      <c r="N1068" s="180"/>
      <c r="O1068" s="180"/>
      <c r="P1068" s="180"/>
      <c r="Q1068" s="180"/>
      <c r="R1068" s="158"/>
      <c r="S1068" s="403"/>
      <c r="U1068" s="236"/>
      <c r="V1068" s="534"/>
    </row>
    <row r="1069" spans="3:22">
      <c r="U1069" s="236"/>
      <c r="V1069" s="534"/>
    </row>
    <row r="1070" spans="3:22">
      <c r="E1070" s="986" t="s">
        <v>1299</v>
      </c>
      <c r="F1070" s="987"/>
      <c r="G1070" s="987"/>
      <c r="H1070" s="987"/>
      <c r="I1070" s="987"/>
      <c r="J1070" s="987"/>
      <c r="K1070" s="987"/>
      <c r="L1070" s="987"/>
      <c r="M1070" s="987"/>
      <c r="N1070" s="987"/>
      <c r="O1070" s="987"/>
      <c r="P1070" s="987"/>
      <c r="Q1070" s="1004"/>
      <c r="R1070" s="157">
        <f>(F852+F853)*Q850</f>
        <v>285.59999999999997</v>
      </c>
      <c r="S1070" s="11" t="s">
        <v>17</v>
      </c>
      <c r="U1070" s="236"/>
      <c r="V1070" s="534"/>
    </row>
    <row r="1071" spans="3:22">
      <c r="D1071" s="403"/>
      <c r="E1071" s="86"/>
      <c r="F1071" s="395"/>
      <c r="G1071" s="395"/>
      <c r="H1071" s="395"/>
      <c r="I1071" s="395"/>
      <c r="J1071" s="395"/>
      <c r="K1071" s="395"/>
      <c r="L1071" s="395"/>
      <c r="M1071" s="395"/>
      <c r="N1071" s="395"/>
      <c r="O1071" s="395"/>
      <c r="P1071" s="395"/>
      <c r="Q1071" s="395"/>
      <c r="R1071" s="158"/>
      <c r="S1071" s="403"/>
      <c r="U1071" s="236"/>
      <c r="V1071" s="534"/>
    </row>
    <row r="1072" spans="3:22">
      <c r="D1072" s="403"/>
      <c r="E1072" s="628"/>
      <c r="F1072" s="395"/>
      <c r="G1072" s="395"/>
      <c r="H1072" s="395"/>
      <c r="I1072" s="395"/>
      <c r="J1072" s="395"/>
      <c r="K1072" s="395"/>
      <c r="L1072" s="395"/>
      <c r="M1072" s="395"/>
      <c r="N1072" s="395"/>
      <c r="O1072" s="395"/>
      <c r="P1072" s="395"/>
      <c r="Q1072" s="395"/>
      <c r="R1072" s="158"/>
      <c r="S1072" s="403"/>
      <c r="U1072" s="236"/>
      <c r="V1072" s="534"/>
    </row>
    <row r="1073" spans="3:22" ht="15">
      <c r="C1073" s="651">
        <v>10</v>
      </c>
      <c r="D1073" s="655" t="s">
        <v>1147</v>
      </c>
    </row>
    <row r="1074" spans="3:22">
      <c r="C1074" s="117"/>
      <c r="D1074" s="396"/>
    </row>
    <row r="1075" spans="3:22">
      <c r="C1075" s="1060" t="s">
        <v>27</v>
      </c>
      <c r="D1075" s="1071"/>
      <c r="E1075" s="1071"/>
      <c r="F1075" s="1071"/>
      <c r="G1075" s="1071"/>
      <c r="H1075" s="1061"/>
      <c r="I1075" s="1060" t="s">
        <v>30</v>
      </c>
      <c r="J1075" s="1061"/>
      <c r="K1075" s="1060" t="s">
        <v>20</v>
      </c>
      <c r="L1075" s="1061"/>
      <c r="M1075" s="1060" t="s">
        <v>152</v>
      </c>
      <c r="N1075" s="1061"/>
      <c r="O1075" s="1060" t="s">
        <v>47</v>
      </c>
      <c r="P1075" s="1061"/>
      <c r="Q1075" s="1060" t="s">
        <v>48</v>
      </c>
      <c r="R1075" s="1061"/>
      <c r="S1075" s="1060" t="s">
        <v>33</v>
      </c>
      <c r="T1075" s="1061"/>
      <c r="U1075" s="1060" t="s">
        <v>1418</v>
      </c>
      <c r="V1075" s="1061"/>
    </row>
    <row r="1076" spans="3:22">
      <c r="C1076" s="1062"/>
      <c r="D1076" s="1072"/>
      <c r="E1076" s="1072"/>
      <c r="F1076" s="1072"/>
      <c r="G1076" s="1072"/>
      <c r="H1076" s="1063"/>
      <c r="I1076" s="1062"/>
      <c r="J1076" s="1063"/>
      <c r="K1076" s="1062"/>
      <c r="L1076" s="1063"/>
      <c r="M1076" s="1062"/>
      <c r="N1076" s="1063"/>
      <c r="O1076" s="1062"/>
      <c r="P1076" s="1063"/>
      <c r="Q1076" s="1062"/>
      <c r="R1076" s="1063"/>
      <c r="S1076" s="1062"/>
      <c r="T1076" s="1063"/>
      <c r="U1076" s="1062"/>
      <c r="V1076" s="1063"/>
    </row>
    <row r="1077" spans="3:22">
      <c r="C1077" s="1064" t="s">
        <v>1339</v>
      </c>
      <c r="D1077" s="1065"/>
      <c r="E1077" s="1065"/>
      <c r="F1077" s="1065"/>
      <c r="G1077" s="1065"/>
      <c r="H1077" s="1065"/>
      <c r="I1077" s="1099">
        <v>1</v>
      </c>
      <c r="J1077" s="1100"/>
      <c r="K1077" s="1103">
        <v>6</v>
      </c>
      <c r="L1077" s="1095" t="s">
        <v>0</v>
      </c>
      <c r="M1077" s="1103">
        <v>6</v>
      </c>
      <c r="N1077" s="1095" t="s">
        <v>0</v>
      </c>
      <c r="O1077" s="1109">
        <v>0.15</v>
      </c>
      <c r="P1077" s="1095" t="s">
        <v>0</v>
      </c>
      <c r="Q1077" s="1103">
        <f>I1077*K1077*M1077</f>
        <v>36</v>
      </c>
      <c r="R1077" s="1105" t="s">
        <v>17</v>
      </c>
      <c r="S1077" s="1107">
        <f>I1077*K1077*M1077*O1077</f>
        <v>5.3999999999999995</v>
      </c>
      <c r="T1077" s="1095" t="s">
        <v>18</v>
      </c>
      <c r="U1077" s="1064" t="s">
        <v>28</v>
      </c>
      <c r="V1077" s="1097"/>
    </row>
    <row r="1078" spans="3:22">
      <c r="C1078" s="1066"/>
      <c r="D1078" s="1067"/>
      <c r="E1078" s="1067"/>
      <c r="F1078" s="1067"/>
      <c r="G1078" s="1067"/>
      <c r="H1078" s="1067"/>
      <c r="I1078" s="1101"/>
      <c r="J1078" s="1102"/>
      <c r="K1078" s="1104"/>
      <c r="L1078" s="1096"/>
      <c r="M1078" s="1104"/>
      <c r="N1078" s="1096"/>
      <c r="O1078" s="1110"/>
      <c r="P1078" s="1096"/>
      <c r="Q1078" s="1104"/>
      <c r="R1078" s="1106"/>
      <c r="S1078" s="1108"/>
      <c r="T1078" s="1096"/>
      <c r="U1078" s="1066"/>
      <c r="V1078" s="1098"/>
    </row>
    <row r="1079" spans="3:22">
      <c r="C1079" s="117"/>
      <c r="D1079" s="396"/>
    </row>
    <row r="1080" spans="3:22">
      <c r="C1080" s="117"/>
      <c r="D1080" s="396"/>
    </row>
    <row r="1081" spans="3:22">
      <c r="C1081" s="117"/>
      <c r="D1081" s="396"/>
    </row>
    <row r="1082" spans="3:22">
      <c r="C1082" s="630" t="s">
        <v>307</v>
      </c>
      <c r="D1082" s="396" t="s">
        <v>610</v>
      </c>
    </row>
    <row r="1083" spans="3:22">
      <c r="C1083" s="403"/>
      <c r="D1083" s="8"/>
    </row>
    <row r="1084" spans="3:22" ht="12.75" customHeight="1">
      <c r="C1084" s="190"/>
      <c r="D1084" s="11" t="s">
        <v>611</v>
      </c>
      <c r="E1084" s="8" t="s">
        <v>1148</v>
      </c>
      <c r="F1084" s="180"/>
      <c r="G1084" s="180"/>
      <c r="H1084" s="180"/>
      <c r="I1084" s="180"/>
      <c r="J1084" s="180"/>
      <c r="K1084" s="180"/>
      <c r="L1084" s="180"/>
      <c r="M1084" s="180"/>
      <c r="N1084" s="180"/>
      <c r="O1084" s="180"/>
      <c r="P1084" s="180"/>
      <c r="Q1084" s="627"/>
      <c r="R1084" s="157">
        <f>Q1077</f>
        <v>36</v>
      </c>
      <c r="S1084" s="11" t="str">
        <f>'Planilha Orçamentária'!D422</f>
        <v>m²</v>
      </c>
    </row>
    <row r="1085" spans="3:22">
      <c r="C1085" s="190"/>
      <c r="D1085" s="629"/>
    </row>
    <row r="1086" spans="3:22">
      <c r="C1086" s="190"/>
      <c r="D1086" s="174"/>
    </row>
    <row r="1087" spans="3:22">
      <c r="C1087" s="205" t="s">
        <v>309</v>
      </c>
      <c r="D1087" s="396" t="s">
        <v>1353</v>
      </c>
      <c r="E1087" s="123"/>
      <c r="F1087" s="395"/>
      <c r="G1087" s="395"/>
      <c r="H1087" s="395"/>
      <c r="I1087" s="395"/>
      <c r="J1087" s="395"/>
      <c r="K1087" s="395"/>
      <c r="L1087" s="395"/>
      <c r="M1087" s="395"/>
      <c r="N1087" s="395"/>
      <c r="O1087" s="395"/>
      <c r="P1087" s="395"/>
      <c r="Q1087" s="395"/>
      <c r="R1087" s="158"/>
      <c r="S1087" s="403"/>
    </row>
    <row r="1088" spans="3:22">
      <c r="D1088" s="403" t="s">
        <v>612</v>
      </c>
      <c r="E1088" s="123" t="s">
        <v>1208</v>
      </c>
      <c r="F1088" s="395"/>
      <c r="G1088" s="395"/>
      <c r="H1088" s="395"/>
      <c r="I1088" s="395"/>
      <c r="J1088" s="395"/>
      <c r="K1088" s="395"/>
      <c r="L1088" s="395"/>
      <c r="M1088" s="395"/>
      <c r="N1088" s="395"/>
      <c r="O1088" s="395"/>
      <c r="P1088" s="395"/>
      <c r="Q1088" s="395"/>
      <c r="R1088" s="157">
        <f>4*2</f>
        <v>8</v>
      </c>
      <c r="S1088" s="11" t="s">
        <v>352</v>
      </c>
    </row>
    <row r="1089" spans="3:19">
      <c r="D1089" s="403" t="s">
        <v>733</v>
      </c>
      <c r="E1089" s="8" t="s">
        <v>1177</v>
      </c>
      <c r="F1089" s="398"/>
      <c r="G1089" s="399"/>
      <c r="H1089" s="399"/>
      <c r="I1089" s="399"/>
      <c r="J1089" s="399"/>
      <c r="K1089" s="399"/>
      <c r="L1089" s="399"/>
      <c r="M1089" s="399"/>
      <c r="N1089" s="399"/>
      <c r="O1089" s="399"/>
      <c r="P1089" s="399"/>
      <c r="Q1089" s="399"/>
      <c r="R1089" s="157">
        <f>8*2</f>
        <v>16</v>
      </c>
      <c r="S1089" s="11" t="s">
        <v>352</v>
      </c>
    </row>
    <row r="1090" spans="3:19">
      <c r="D1090" s="403" t="s">
        <v>775</v>
      </c>
      <c r="E1090" s="8" t="s">
        <v>1161</v>
      </c>
      <c r="F1090" s="398"/>
      <c r="G1090" s="399"/>
      <c r="H1090" s="399"/>
      <c r="I1090" s="399"/>
      <c r="J1090" s="399"/>
      <c r="K1090" s="399"/>
      <c r="L1090" s="399"/>
      <c r="M1090" s="399"/>
      <c r="N1090" s="399"/>
      <c r="O1090" s="399"/>
      <c r="P1090" s="399"/>
      <c r="Q1090" s="399"/>
      <c r="R1090" s="157">
        <f>8*2*1</f>
        <v>16</v>
      </c>
      <c r="S1090" s="11" t="s">
        <v>352</v>
      </c>
    </row>
    <row r="1091" spans="3:19">
      <c r="D1091" s="403" t="s">
        <v>776</v>
      </c>
      <c r="E1091" s="8" t="s">
        <v>1162</v>
      </c>
      <c r="F1091" s="398"/>
      <c r="G1091" s="399"/>
      <c r="H1091" s="399"/>
      <c r="I1091" s="399"/>
      <c r="J1091" s="399"/>
      <c r="K1091" s="399"/>
      <c r="L1091" s="399"/>
      <c r="M1091" s="399"/>
      <c r="N1091" s="399"/>
      <c r="O1091" s="399"/>
      <c r="P1091" s="399"/>
      <c r="Q1091" s="399"/>
      <c r="R1091" s="157">
        <f>8*2*1</f>
        <v>16</v>
      </c>
      <c r="S1091" s="11" t="s">
        <v>352</v>
      </c>
    </row>
    <row r="1092" spans="3:19">
      <c r="D1092" s="403" t="s">
        <v>777</v>
      </c>
      <c r="E1092" s="8" t="s">
        <v>1179</v>
      </c>
      <c r="F1092" s="398"/>
      <c r="G1092" s="399"/>
      <c r="H1092" s="399"/>
      <c r="I1092" s="399"/>
      <c r="J1092" s="399"/>
      <c r="K1092" s="399"/>
      <c r="L1092" s="399"/>
      <c r="M1092" s="399"/>
      <c r="N1092" s="399"/>
      <c r="O1092" s="399"/>
      <c r="P1092" s="399"/>
      <c r="Q1092" s="399"/>
      <c r="R1092" s="157">
        <f>8*2*1</f>
        <v>16</v>
      </c>
      <c r="S1092" s="11" t="s">
        <v>352</v>
      </c>
    </row>
    <row r="1093" spans="3:19">
      <c r="D1093" s="403"/>
      <c r="E1093" s="86"/>
      <c r="F1093" s="395"/>
      <c r="G1093" s="395"/>
      <c r="H1093" s="395"/>
      <c r="I1093" s="395"/>
      <c r="J1093" s="395"/>
      <c r="K1093" s="395"/>
      <c r="L1093" s="395"/>
      <c r="M1093" s="395"/>
      <c r="N1093" s="395"/>
      <c r="O1093" s="395"/>
      <c r="P1093" s="395"/>
      <c r="Q1093" s="395"/>
      <c r="R1093" s="158"/>
      <c r="S1093" s="403"/>
    </row>
    <row r="1094" spans="3:19">
      <c r="C1094" s="205" t="s">
        <v>310</v>
      </c>
      <c r="D1094" s="396" t="s">
        <v>1202</v>
      </c>
      <c r="E1094" s="8"/>
      <c r="F1094" s="398"/>
      <c r="G1094" s="399"/>
      <c r="H1094" s="399"/>
      <c r="I1094" s="399"/>
      <c r="J1094" s="399"/>
      <c r="K1094" s="399"/>
      <c r="L1094" s="399"/>
      <c r="M1094" s="399"/>
      <c r="N1094" s="399"/>
      <c r="O1094" s="399"/>
      <c r="P1094" s="399"/>
      <c r="Q1094" s="399"/>
      <c r="R1094" s="158"/>
      <c r="S1094" s="403"/>
    </row>
    <row r="1095" spans="3:19">
      <c r="D1095" s="403" t="s">
        <v>613</v>
      </c>
      <c r="E1095" s="8" t="s">
        <v>1199</v>
      </c>
      <c r="F1095" s="398"/>
      <c r="G1095" s="399"/>
      <c r="H1095" s="399"/>
      <c r="I1095" s="399"/>
      <c r="J1095" s="399"/>
      <c r="K1095" s="399"/>
      <c r="L1095" s="399"/>
      <c r="M1095" s="399"/>
      <c r="N1095" s="399"/>
      <c r="O1095" s="399"/>
      <c r="P1095" s="399"/>
      <c r="Q1095" s="399"/>
      <c r="R1095" s="157">
        <f>4*1</f>
        <v>4</v>
      </c>
      <c r="S1095" s="156" t="s">
        <v>352</v>
      </c>
    </row>
    <row r="1096" spans="3:19">
      <c r="D1096" s="403" t="s">
        <v>734</v>
      </c>
      <c r="E1096" s="8" t="s">
        <v>1200</v>
      </c>
      <c r="F1096" s="398"/>
      <c r="G1096" s="399"/>
      <c r="H1096" s="399"/>
      <c r="I1096" s="399"/>
      <c r="J1096" s="399"/>
      <c r="K1096" s="399"/>
      <c r="L1096" s="399"/>
      <c r="M1096" s="399"/>
      <c r="N1096" s="399"/>
      <c r="O1096" s="399"/>
      <c r="P1096" s="399"/>
      <c r="Q1096" s="399"/>
      <c r="R1096" s="157">
        <f>8*1*1</f>
        <v>8</v>
      </c>
      <c r="S1096" s="156" t="s">
        <v>352</v>
      </c>
    </row>
    <row r="1097" spans="3:19">
      <c r="D1097" s="403" t="s">
        <v>735</v>
      </c>
      <c r="E1097" s="8" t="s">
        <v>1201</v>
      </c>
      <c r="F1097" s="398"/>
      <c r="G1097" s="399"/>
      <c r="H1097" s="399"/>
      <c r="I1097" s="399"/>
      <c r="J1097" s="399"/>
      <c r="K1097" s="399"/>
      <c r="L1097" s="399"/>
      <c r="M1097" s="399"/>
      <c r="N1097" s="399"/>
      <c r="O1097" s="399"/>
      <c r="P1097" s="399"/>
      <c r="Q1097" s="399"/>
      <c r="R1097" s="157">
        <f>8*1*1</f>
        <v>8</v>
      </c>
      <c r="S1097" s="156" t="s">
        <v>352</v>
      </c>
    </row>
    <row r="1098" spans="3:19">
      <c r="D1098" s="403"/>
      <c r="E1098" s="86"/>
      <c r="F1098" s="395"/>
      <c r="G1098" s="395"/>
      <c r="H1098" s="395"/>
      <c r="I1098" s="395"/>
      <c r="J1098" s="395"/>
      <c r="K1098" s="395"/>
      <c r="L1098" s="395"/>
      <c r="M1098" s="395"/>
      <c r="N1098" s="395"/>
      <c r="O1098" s="395"/>
      <c r="P1098" s="395"/>
      <c r="Q1098" s="395"/>
      <c r="R1098" s="158"/>
      <c r="S1098" s="403"/>
    </row>
    <row r="1099" spans="3:19">
      <c r="D1099" s="403"/>
      <c r="E1099" s="86"/>
      <c r="F1099" s="395"/>
      <c r="G1099" s="395"/>
      <c r="H1099" s="395"/>
      <c r="I1099" s="395"/>
      <c r="J1099" s="395"/>
      <c r="K1099" s="395"/>
      <c r="L1099" s="395"/>
      <c r="M1099" s="395"/>
      <c r="N1099" s="395"/>
      <c r="O1099" s="395"/>
      <c r="P1099" s="395"/>
      <c r="Q1099" s="395"/>
      <c r="R1099" s="158"/>
      <c r="S1099" s="403"/>
    </row>
    <row r="1100" spans="3:19" ht="15">
      <c r="C1100" s="472"/>
      <c r="D1100" s="650" t="s">
        <v>1340</v>
      </c>
      <c r="E1100" s="86"/>
      <c r="F1100" s="395"/>
      <c r="G1100" s="395"/>
      <c r="H1100" s="395"/>
      <c r="I1100" s="395"/>
      <c r="J1100" s="395"/>
      <c r="K1100" s="395"/>
      <c r="L1100" s="395"/>
      <c r="M1100" s="395"/>
      <c r="N1100" s="395"/>
      <c r="O1100" s="395"/>
      <c r="P1100" s="395"/>
      <c r="Q1100" s="395"/>
      <c r="R1100" s="158"/>
      <c r="S1100" s="403"/>
    </row>
    <row r="1101" spans="3:19">
      <c r="D1101" s="403"/>
      <c r="E1101" s="86"/>
      <c r="F1101" s="395"/>
      <c r="G1101" s="395"/>
      <c r="H1101" s="395"/>
      <c r="I1101" s="395"/>
      <c r="J1101" s="395"/>
      <c r="K1101" s="395"/>
      <c r="L1101" s="395"/>
      <c r="M1101" s="395"/>
      <c r="N1101" s="395"/>
      <c r="O1101" s="395"/>
      <c r="P1101" s="395"/>
      <c r="Q1101" s="395"/>
      <c r="R1101" s="158"/>
      <c r="S1101" s="403"/>
    </row>
    <row r="1102" spans="3:19">
      <c r="C1102" s="205" t="s">
        <v>1052</v>
      </c>
      <c r="D1102" s="396" t="s">
        <v>1214</v>
      </c>
      <c r="E1102" s="86"/>
      <c r="F1102" s="395"/>
      <c r="G1102" s="395"/>
      <c r="H1102" s="395"/>
      <c r="I1102" s="395"/>
      <c r="J1102" s="395"/>
      <c r="K1102" s="395"/>
      <c r="L1102" s="395"/>
      <c r="M1102" s="395"/>
      <c r="N1102" s="395"/>
      <c r="O1102" s="395"/>
      <c r="P1102" s="395"/>
      <c r="Q1102" s="395"/>
      <c r="R1102" s="158"/>
      <c r="S1102" s="403"/>
    </row>
    <row r="1103" spans="3:19">
      <c r="C1103" s="282"/>
      <c r="D1103" s="264"/>
      <c r="E1103" s="86"/>
      <c r="F1103" s="395"/>
      <c r="G1103" s="395"/>
      <c r="H1103" s="395"/>
      <c r="I1103" s="395"/>
      <c r="J1103" s="395"/>
      <c r="K1103" s="395"/>
      <c r="L1103" s="395"/>
      <c r="M1103" s="395"/>
      <c r="N1103" s="395"/>
      <c r="O1103" s="395"/>
      <c r="P1103" s="395"/>
      <c r="Q1103" s="395"/>
      <c r="R1103" s="158"/>
      <c r="S1103" s="403"/>
    </row>
    <row r="1104" spans="3:19">
      <c r="D1104" s="403"/>
      <c r="E1104" s="555" t="s">
        <v>827</v>
      </c>
      <c r="F1104" s="265" t="s">
        <v>819</v>
      </c>
      <c r="G1104" s="266">
        <v>1</v>
      </c>
      <c r="H1104" s="267"/>
      <c r="I1104" s="267"/>
      <c r="J1104" s="267"/>
      <c r="K1104" s="267"/>
      <c r="L1104" s="395"/>
      <c r="M1104" s="395"/>
      <c r="N1104" s="395"/>
      <c r="O1104" s="395"/>
      <c r="P1104" s="395"/>
      <c r="Q1104" s="395"/>
      <c r="R1104" s="158"/>
      <c r="S1104" s="403"/>
    </row>
    <row r="1105" spans="3:19">
      <c r="D1105" s="403"/>
      <c r="E1105" s="1077" t="s">
        <v>820</v>
      </c>
      <c r="F1105" s="1077"/>
      <c r="G1105" s="1077"/>
      <c r="H1105" s="267"/>
      <c r="I1105" s="1077" t="s">
        <v>821</v>
      </c>
      <c r="J1105" s="1077"/>
      <c r="K1105" s="1077"/>
      <c r="L1105" s="395"/>
      <c r="M1105" s="395"/>
      <c r="N1105" s="395"/>
      <c r="O1105" s="395"/>
      <c r="P1105" s="395"/>
      <c r="Q1105" s="395"/>
      <c r="R1105" s="158"/>
      <c r="S1105" s="403"/>
    </row>
    <row r="1106" spans="3:19">
      <c r="D1106" s="403"/>
      <c r="E1106" s="268"/>
      <c r="F1106" s="269"/>
      <c r="G1106" s="270"/>
      <c r="H1106" s="267"/>
      <c r="I1106" s="268"/>
      <c r="J1106" s="269"/>
      <c r="K1106" s="270"/>
      <c r="L1106" s="395"/>
      <c r="M1106" s="395"/>
      <c r="N1106" s="395"/>
      <c r="O1106" s="395"/>
      <c r="P1106" s="395"/>
      <c r="Q1106" s="395"/>
      <c r="R1106" s="158"/>
      <c r="S1106" s="403"/>
    </row>
    <row r="1107" spans="3:19">
      <c r="D1107" s="403"/>
      <c r="E1107" s="271" t="s">
        <v>822</v>
      </c>
      <c r="F1107" s="272">
        <v>2</v>
      </c>
      <c r="G1107" s="541" t="s">
        <v>0</v>
      </c>
      <c r="H1107" s="267"/>
      <c r="I1107" s="271" t="s">
        <v>822</v>
      </c>
      <c r="J1107" s="272">
        <f>F1107+1+1</f>
        <v>4</v>
      </c>
      <c r="K1107" s="541" t="s">
        <v>0</v>
      </c>
      <c r="L1107" s="395"/>
      <c r="M1107" s="395"/>
      <c r="N1107" s="395"/>
      <c r="O1107" s="395"/>
      <c r="P1107" s="395"/>
      <c r="Q1107" s="395"/>
      <c r="R1107" s="158"/>
      <c r="S1107" s="403"/>
    </row>
    <row r="1108" spans="3:19">
      <c r="D1108" s="403"/>
      <c r="E1108" s="271" t="s">
        <v>823</v>
      </c>
      <c r="F1108" s="272">
        <v>2</v>
      </c>
      <c r="G1108" s="541" t="s">
        <v>0</v>
      </c>
      <c r="H1108" s="267"/>
      <c r="I1108" s="271" t="s">
        <v>823</v>
      </c>
      <c r="J1108" s="272">
        <f>F1108+1+1</f>
        <v>4</v>
      </c>
      <c r="K1108" s="541" t="s">
        <v>0</v>
      </c>
      <c r="L1108" s="395"/>
      <c r="M1108" s="395"/>
      <c r="N1108" s="395"/>
      <c r="O1108" s="395"/>
      <c r="P1108" s="395"/>
      <c r="Q1108" s="395"/>
      <c r="R1108" s="158"/>
      <c r="S1108" s="403"/>
    </row>
    <row r="1109" spans="3:19">
      <c r="D1109" s="403"/>
      <c r="E1109" s="271" t="s">
        <v>824</v>
      </c>
      <c r="F1109" s="272">
        <v>1.5</v>
      </c>
      <c r="G1109" s="541" t="s">
        <v>0</v>
      </c>
      <c r="H1109" s="267"/>
      <c r="I1109" s="271" t="s">
        <v>824</v>
      </c>
      <c r="J1109" s="272">
        <v>1.5</v>
      </c>
      <c r="K1109" s="541" t="s">
        <v>0</v>
      </c>
      <c r="L1109" s="395"/>
      <c r="M1109" s="395"/>
      <c r="N1109" s="395"/>
      <c r="O1109" s="395"/>
      <c r="P1109" s="395"/>
      <c r="Q1109" s="395"/>
      <c r="R1109" s="158"/>
      <c r="S1109" s="403"/>
    </row>
    <row r="1110" spans="3:19">
      <c r="D1110" s="403"/>
      <c r="E1110" s="273"/>
      <c r="F1110" s="274"/>
      <c r="G1110" s="275"/>
      <c r="H1110" s="267"/>
      <c r="I1110" s="273"/>
      <c r="J1110" s="274"/>
      <c r="K1110" s="275"/>
      <c r="L1110" s="395"/>
      <c r="M1110" s="395"/>
      <c r="N1110" s="395"/>
      <c r="O1110" s="395"/>
      <c r="P1110" s="395"/>
      <c r="Q1110" s="395"/>
      <c r="R1110" s="158"/>
      <c r="S1110" s="403"/>
    </row>
    <row r="1111" spans="3:19">
      <c r="D1111" s="403"/>
      <c r="E1111" s="267"/>
      <c r="F1111" s="272"/>
      <c r="G1111" s="540"/>
      <c r="H1111" s="267"/>
      <c r="I1111" s="267"/>
      <c r="J1111" s="272"/>
      <c r="K1111" s="540"/>
      <c r="L1111" s="395"/>
      <c r="M1111" s="395"/>
      <c r="N1111" s="395"/>
      <c r="O1111" s="395"/>
      <c r="P1111" s="395"/>
      <c r="Q1111" s="395"/>
      <c r="R1111" s="158"/>
      <c r="S1111" s="403"/>
    </row>
    <row r="1112" spans="3:19" ht="25.5">
      <c r="D1112" s="403"/>
      <c r="E1112" s="267"/>
      <c r="F1112" s="272"/>
      <c r="G1112" s="540"/>
      <c r="H1112" s="267"/>
      <c r="I1112" s="267"/>
      <c r="J1112" s="561" t="s">
        <v>1218</v>
      </c>
      <c r="K1112" s="562">
        <f>((J1107*J1108*J1109)*G1104)</f>
        <v>24</v>
      </c>
      <c r="L1112" s="472" t="s">
        <v>18</v>
      </c>
      <c r="M1112" s="395"/>
      <c r="N1112" s="395"/>
      <c r="O1112" s="395"/>
      <c r="P1112" s="395"/>
      <c r="Q1112" s="395"/>
      <c r="R1112" s="158"/>
      <c r="S1112" s="403"/>
    </row>
    <row r="1113" spans="3:19">
      <c r="D1113" s="403"/>
      <c r="E1113" s="1078" t="s">
        <v>791</v>
      </c>
      <c r="F1113" s="1078"/>
      <c r="G1113" s="1078"/>
      <c r="H1113" s="267"/>
      <c r="I1113" s="1079"/>
      <c r="J1113" s="1079"/>
      <c r="K1113" s="267"/>
      <c r="L1113" s="1070"/>
      <c r="M1113" s="1070"/>
      <c r="N1113" s="276"/>
      <c r="O1113" s="395"/>
      <c r="P1113" s="395"/>
      <c r="Q1113" s="395"/>
      <c r="R1113" s="158"/>
      <c r="S1113" s="403"/>
    </row>
    <row r="1114" spans="3:19">
      <c r="D1114" s="403"/>
      <c r="E1114" s="1080" t="s">
        <v>792</v>
      </c>
      <c r="F1114" s="1081"/>
      <c r="G1114" s="1082"/>
      <c r="H1114" s="267"/>
      <c r="I1114" s="277"/>
      <c r="J1114" s="277"/>
      <c r="K1114" s="267"/>
      <c r="L1114" s="267"/>
      <c r="M1114" s="267"/>
      <c r="N1114" s="267"/>
      <c r="O1114" s="395"/>
      <c r="P1114" s="395"/>
      <c r="Q1114" s="395"/>
      <c r="R1114" s="158"/>
      <c r="S1114" s="403"/>
    </row>
    <row r="1115" spans="3:19">
      <c r="D1115" s="403"/>
      <c r="E1115" s="271" t="s">
        <v>280</v>
      </c>
      <c r="F1115" s="277">
        <f>((J1107*2+(J1108*2)))</f>
        <v>16</v>
      </c>
      <c r="G1115" s="278" t="s">
        <v>0</v>
      </c>
      <c r="H1115" s="267"/>
      <c r="I1115" s="267"/>
      <c r="J1115" s="267"/>
      <c r="K1115" s="279" t="s">
        <v>825</v>
      </c>
      <c r="L1115" s="267"/>
      <c r="M1115" s="267"/>
      <c r="N1115" s="267"/>
      <c r="O1115" s="395"/>
      <c r="P1115" s="395"/>
      <c r="Q1115" s="395"/>
      <c r="R1115" s="158"/>
      <c r="S1115" s="403"/>
    </row>
    <row r="1116" spans="3:19">
      <c r="D1116" s="403"/>
      <c r="E1116" s="271"/>
      <c r="F1116" s="267"/>
      <c r="G1116" s="280"/>
      <c r="H1116" s="267"/>
      <c r="I1116" s="277"/>
      <c r="J1116" s="277"/>
      <c r="K1116" s="281">
        <v>2</v>
      </c>
      <c r="L1116" s="282" t="s">
        <v>107</v>
      </c>
      <c r="M1116" s="267"/>
      <c r="N1116" s="267"/>
      <c r="O1116" s="395"/>
      <c r="P1116" s="395"/>
      <c r="Q1116" s="395"/>
      <c r="R1116" s="158"/>
      <c r="S1116" s="403"/>
    </row>
    <row r="1117" spans="3:19">
      <c r="D1117" s="403"/>
      <c r="E1117" s="556" t="s">
        <v>793</v>
      </c>
      <c r="F1117" s="557">
        <f>SUM(F1115:F1115)</f>
        <v>16</v>
      </c>
      <c r="G1117" s="558" t="s">
        <v>0</v>
      </c>
      <c r="H1117" s="267"/>
      <c r="I1117" s="267"/>
      <c r="J1117" s="267"/>
      <c r="K1117" s="267"/>
      <c r="L1117" s="267"/>
      <c r="M1117" s="267"/>
      <c r="N1117" s="267"/>
      <c r="O1117" s="395"/>
      <c r="P1117" s="395"/>
      <c r="Q1117" s="395"/>
      <c r="R1117" s="158"/>
      <c r="S1117" s="403"/>
    </row>
    <row r="1118" spans="3:19">
      <c r="D1118" s="403"/>
      <c r="E1118" s="267"/>
      <c r="F1118" s="272"/>
      <c r="G1118" s="540"/>
      <c r="H1118" s="267"/>
      <c r="I1118" s="267"/>
      <c r="J1118" s="272"/>
      <c r="K1118" s="540"/>
      <c r="L1118" s="395"/>
      <c r="M1118" s="395"/>
      <c r="N1118" s="395"/>
      <c r="O1118" s="395"/>
      <c r="P1118" s="395"/>
      <c r="Q1118" s="395"/>
      <c r="R1118" s="158"/>
      <c r="S1118" s="403"/>
    </row>
    <row r="1119" spans="3:19">
      <c r="D1119" s="403"/>
      <c r="E1119" s="267"/>
      <c r="F1119" s="272"/>
      <c r="G1119" s="540"/>
      <c r="H1119" s="267"/>
      <c r="I1119" s="267"/>
      <c r="J1119" s="272"/>
      <c r="K1119" s="540"/>
      <c r="L1119" s="395"/>
      <c r="M1119" s="395"/>
      <c r="N1119" s="395"/>
      <c r="O1119" s="395"/>
      <c r="P1119" s="395"/>
      <c r="Q1119" s="395"/>
      <c r="R1119" s="158"/>
      <c r="S1119" s="403"/>
    </row>
    <row r="1120" spans="3:19">
      <c r="C1120" s="205"/>
      <c r="D1120" s="174"/>
      <c r="E1120" s="86"/>
      <c r="F1120" s="395"/>
      <c r="G1120" s="395"/>
      <c r="H1120" s="395"/>
      <c r="I1120" s="395"/>
      <c r="J1120" s="395"/>
      <c r="K1120" s="395"/>
      <c r="L1120" s="395"/>
      <c r="M1120" s="395"/>
      <c r="N1120" s="395"/>
      <c r="O1120" s="395"/>
      <c r="P1120" s="395"/>
      <c r="Q1120" s="395"/>
      <c r="R1120" s="158"/>
      <c r="S1120" s="403"/>
    </row>
    <row r="1121" spans="3:22">
      <c r="C1121" s="205"/>
      <c r="D1121" s="276" t="s">
        <v>1053</v>
      </c>
      <c r="E1121" s="539" t="s">
        <v>178</v>
      </c>
      <c r="F1121" s="539"/>
      <c r="G1121" s="539"/>
      <c r="H1121" s="539"/>
      <c r="I1121" s="539"/>
      <c r="J1121" s="539"/>
      <c r="K1121" s="539"/>
      <c r="L1121" s="539"/>
      <c r="M1121" s="539"/>
      <c r="N1121" s="539"/>
      <c r="O1121" s="539"/>
      <c r="P1121" s="539"/>
      <c r="Q1121" s="539"/>
      <c r="R1121" s="158"/>
      <c r="S1121" s="403"/>
    </row>
    <row r="1122" spans="3:22">
      <c r="C1122" s="205"/>
      <c r="D1122" s="282"/>
      <c r="E1122" s="86"/>
      <c r="F1122" s="86"/>
      <c r="G1122" s="86"/>
      <c r="H1122" s="86"/>
      <c r="I1122" s="86"/>
      <c r="J1122" s="86"/>
      <c r="K1122" s="86"/>
      <c r="L1122" s="86"/>
      <c r="M1122" s="86"/>
      <c r="N1122" s="86"/>
      <c r="O1122" s="86"/>
      <c r="P1122" s="86"/>
      <c r="Q1122" s="86"/>
      <c r="R1122" s="158"/>
      <c r="S1122" s="403"/>
    </row>
    <row r="1123" spans="3:22">
      <c r="C1123" s="205"/>
      <c r="D1123" s="282"/>
      <c r="E1123" s="979" t="s">
        <v>1215</v>
      </c>
      <c r="F1123" s="980"/>
      <c r="G1123" s="980"/>
      <c r="H1123" s="980"/>
      <c r="I1123" s="980"/>
      <c r="J1123" s="980"/>
      <c r="K1123" s="980"/>
      <c r="L1123" s="980"/>
      <c r="M1123" s="980"/>
      <c r="N1123" s="980"/>
      <c r="O1123" s="980"/>
      <c r="P1123" s="980"/>
      <c r="Q1123" s="981"/>
      <c r="R1123" s="157">
        <f>(10*2)</f>
        <v>20</v>
      </c>
      <c r="S1123" s="156" t="s">
        <v>179</v>
      </c>
    </row>
    <row r="1124" spans="3:22">
      <c r="C1124" s="205"/>
      <c r="D1124" s="282"/>
      <c r="E1124" s="400"/>
      <c r="F1124" s="537"/>
      <c r="G1124" s="537"/>
      <c r="H1124" s="537"/>
      <c r="I1124" s="537"/>
      <c r="J1124" s="537"/>
      <c r="K1124" s="537"/>
      <c r="L1124" s="537"/>
      <c r="M1124" s="537"/>
      <c r="N1124" s="537"/>
      <c r="O1124" s="537"/>
      <c r="P1124" s="537"/>
      <c r="Q1124" s="537"/>
      <c r="R1124" s="158"/>
      <c r="S1124" s="403"/>
    </row>
    <row r="1125" spans="3:22">
      <c r="C1125" s="205"/>
      <c r="D1125" s="282"/>
      <c r="E1125" s="8"/>
      <c r="F1125" s="559"/>
      <c r="G1125" s="281"/>
      <c r="H1125" s="560"/>
      <c r="I1125" s="284"/>
      <c r="J1125" s="267"/>
      <c r="K1125" s="276"/>
      <c r="L1125" s="276"/>
      <c r="M1125" s="276"/>
      <c r="N1125" s="281"/>
      <c r="O1125" s="395"/>
      <c r="P1125" s="395"/>
      <c r="Q1125" s="395"/>
      <c r="R1125" s="158"/>
      <c r="S1125" s="403"/>
    </row>
    <row r="1126" spans="3:22">
      <c r="C1126" s="205"/>
      <c r="D1126" s="276" t="s">
        <v>1054</v>
      </c>
      <c r="E1126" s="8" t="s">
        <v>795</v>
      </c>
      <c r="F1126" s="559"/>
      <c r="G1126" s="281"/>
      <c r="H1126" s="560"/>
      <c r="I1126" s="284"/>
      <c r="J1126" s="267"/>
      <c r="K1126" s="276"/>
      <c r="L1126" s="276"/>
      <c r="M1126" s="276"/>
      <c r="N1126" s="281"/>
      <c r="O1126" s="395"/>
      <c r="P1126" s="395"/>
      <c r="Q1126" s="395"/>
      <c r="R1126" s="158"/>
      <c r="S1126" s="403"/>
    </row>
    <row r="1127" spans="3:22">
      <c r="C1127" s="205"/>
      <c r="D1127" s="282"/>
      <c r="E1127" s="8"/>
      <c r="F1127" s="554"/>
      <c r="G1127" s="281"/>
      <c r="H1127" s="560"/>
      <c r="I1127" s="284"/>
      <c r="J1127" s="267"/>
      <c r="K1127" s="977"/>
      <c r="L1127" s="977"/>
      <c r="M1127" s="276"/>
      <c r="N1127" s="281"/>
      <c r="O1127" s="395"/>
      <c r="P1127" s="395"/>
      <c r="Q1127" s="395"/>
      <c r="R1127" s="158"/>
      <c r="S1127" s="403"/>
      <c r="U1127" s="472" t="s">
        <v>1216</v>
      </c>
    </row>
    <row r="1128" spans="3:22">
      <c r="C1128" s="205"/>
      <c r="D1128" s="282"/>
      <c r="E1128" s="974" t="s">
        <v>1196</v>
      </c>
      <c r="F1128" s="975"/>
      <c r="G1128" s="975"/>
      <c r="H1128" s="975"/>
      <c r="I1128" s="975"/>
      <c r="J1128" s="975"/>
      <c r="K1128" s="975"/>
      <c r="L1128" s="975"/>
      <c r="M1128" s="975"/>
      <c r="N1128" s="975"/>
      <c r="O1128" s="975"/>
      <c r="P1128" s="975"/>
      <c r="Q1128" s="976"/>
      <c r="R1128" s="157">
        <f>(J1107*J1108)*U1128</f>
        <v>1.6</v>
      </c>
      <c r="S1128" s="156" t="s">
        <v>18</v>
      </c>
      <c r="U1128" s="236">
        <v>0.1</v>
      </c>
      <c r="V1128" s="534" t="s">
        <v>0</v>
      </c>
    </row>
    <row r="1129" spans="3:22">
      <c r="C1129" s="205"/>
      <c r="D1129" s="282"/>
      <c r="E1129" s="8"/>
      <c r="F1129" s="559"/>
      <c r="G1129" s="281"/>
      <c r="H1129" s="560"/>
      <c r="I1129" s="284"/>
      <c r="J1129" s="267"/>
      <c r="K1129" s="267"/>
      <c r="L1129" s="267"/>
      <c r="M1129" s="267"/>
      <c r="N1129" s="267"/>
      <c r="O1129" s="395"/>
      <c r="P1129" s="395"/>
      <c r="Q1129" s="395"/>
      <c r="R1129" s="158"/>
      <c r="S1129" s="403"/>
    </row>
    <row r="1130" spans="3:22">
      <c r="C1130" s="205"/>
      <c r="D1130" s="267"/>
      <c r="E1130" s="1070"/>
      <c r="F1130" s="1070"/>
      <c r="G1130" s="281"/>
      <c r="H1130" s="560"/>
      <c r="I1130" s="284"/>
      <c r="J1130" s="977"/>
      <c r="K1130" s="276"/>
      <c r="L1130" s="276"/>
      <c r="M1130" s="267"/>
      <c r="N1130" s="267"/>
      <c r="O1130" s="395"/>
      <c r="P1130" s="395"/>
      <c r="Q1130" s="395"/>
      <c r="R1130" s="158"/>
      <c r="S1130" s="403"/>
    </row>
    <row r="1131" spans="3:22">
      <c r="C1131" s="205"/>
      <c r="D1131" s="276" t="s">
        <v>1055</v>
      </c>
      <c r="E1131" s="86" t="s">
        <v>796</v>
      </c>
      <c r="F1131" s="554"/>
      <c r="G1131" s="281"/>
      <c r="H1131" s="560"/>
      <c r="I1131" s="284"/>
      <c r="J1131" s="977"/>
      <c r="K1131" s="276"/>
      <c r="L1131" s="276"/>
      <c r="M1131" s="267"/>
      <c r="N1131" s="267"/>
      <c r="O1131" s="395"/>
      <c r="P1131" s="395"/>
      <c r="Q1131" s="395"/>
      <c r="R1131" s="158"/>
      <c r="S1131" s="403"/>
    </row>
    <row r="1132" spans="3:22">
      <c r="C1132" s="205"/>
      <c r="D1132" s="267"/>
      <c r="E1132" s="554"/>
      <c r="F1132" s="554"/>
      <c r="G1132" s="281"/>
      <c r="H1132" s="560"/>
      <c r="I1132" s="284"/>
      <c r="J1132" s="276"/>
      <c r="K1132" s="276"/>
      <c r="L1132" s="276"/>
      <c r="M1132" s="267"/>
      <c r="N1132" s="267"/>
      <c r="O1132" s="395"/>
      <c r="P1132" s="395"/>
      <c r="Q1132" s="395"/>
      <c r="R1132" s="158"/>
      <c r="S1132" s="403"/>
    </row>
    <row r="1133" spans="3:22">
      <c r="C1133" s="205"/>
      <c r="D1133" s="267"/>
      <c r="E1133" s="554"/>
      <c r="F1133" s="86" t="s">
        <v>198</v>
      </c>
      <c r="G1133" s="86"/>
      <c r="H1133" s="86"/>
      <c r="I1133" s="86"/>
      <c r="J1133" s="86"/>
      <c r="K1133" s="86"/>
      <c r="L1133" s="86" t="s">
        <v>192</v>
      </c>
      <c r="M1133" s="171">
        <v>0</v>
      </c>
      <c r="N1133" s="172" t="s">
        <v>193</v>
      </c>
      <c r="O1133" s="395"/>
      <c r="P1133" s="395"/>
      <c r="Q1133" s="395"/>
      <c r="R1133" s="158"/>
      <c r="S1133" s="403"/>
    </row>
    <row r="1134" spans="3:22">
      <c r="C1134" s="205"/>
      <c r="D1134" s="267"/>
      <c r="E1134" s="554"/>
      <c r="F1134" s="86"/>
      <c r="G1134" s="86"/>
      <c r="H1134" s="86"/>
      <c r="I1134" s="86"/>
      <c r="J1134" s="86"/>
      <c r="K1134" s="86"/>
      <c r="L1134" s="86"/>
      <c r="M1134" s="86"/>
      <c r="N1134" s="86"/>
      <c r="O1134" s="395"/>
      <c r="P1134" s="395"/>
      <c r="Q1134" s="395"/>
      <c r="R1134" s="158"/>
      <c r="S1134" s="403"/>
    </row>
    <row r="1135" spans="3:22">
      <c r="C1135" s="205"/>
      <c r="D1135" s="267"/>
      <c r="E1135" s="554"/>
      <c r="F1135" s="86" t="s">
        <v>199</v>
      </c>
      <c r="G1135" s="86"/>
      <c r="H1135" s="86"/>
      <c r="I1135" s="86"/>
      <c r="J1135" s="86"/>
      <c r="K1135" s="86"/>
      <c r="L1135" s="86" t="s">
        <v>192</v>
      </c>
      <c r="M1135" s="536">
        <f>J1109</f>
        <v>1.5</v>
      </c>
      <c r="N1135" s="172" t="s">
        <v>0</v>
      </c>
      <c r="O1135" s="395"/>
      <c r="P1135" s="395"/>
      <c r="Q1135" s="395"/>
      <c r="R1135" s="158"/>
      <c r="S1135" s="403"/>
    </row>
    <row r="1136" spans="3:22">
      <c r="C1136" s="205"/>
      <c r="D1136" s="267"/>
      <c r="E1136" s="554"/>
      <c r="F1136" s="554"/>
      <c r="G1136" s="281"/>
      <c r="H1136" s="560"/>
      <c r="I1136" s="284"/>
      <c r="J1136" s="276"/>
      <c r="K1136" s="276"/>
      <c r="L1136" s="276"/>
      <c r="M1136" s="267"/>
      <c r="N1136" s="267"/>
      <c r="O1136" s="395"/>
      <c r="P1136" s="395"/>
      <c r="Q1136" s="395"/>
      <c r="R1136" s="158"/>
      <c r="S1136" s="403"/>
    </row>
    <row r="1137" spans="3:22">
      <c r="C1137" s="205"/>
      <c r="D1137" s="267"/>
      <c r="E1137" s="86" t="s">
        <v>1217</v>
      </c>
      <c r="F1137" s="86"/>
      <c r="G1137" s="86"/>
      <c r="H1137" s="86"/>
      <c r="I1137" s="86"/>
      <c r="J1137" s="86"/>
      <c r="K1137" s="86"/>
      <c r="L1137" s="86"/>
      <c r="M1137" s="86"/>
      <c r="N1137" s="86"/>
      <c r="O1137" s="86"/>
      <c r="P1137" s="86"/>
      <c r="Q1137" s="86"/>
      <c r="R1137" s="159">
        <f>((J1107*2+J1108*2)*M1135)*G1104</f>
        <v>24</v>
      </c>
      <c r="S1137" s="156" t="s">
        <v>17</v>
      </c>
    </row>
    <row r="1138" spans="3:22">
      <c r="C1138" s="205"/>
      <c r="D1138" s="267"/>
      <c r="E1138" s="86"/>
      <c r="F1138" s="86"/>
      <c r="G1138" s="86"/>
      <c r="H1138" s="86"/>
      <c r="I1138" s="86"/>
      <c r="J1138" s="86"/>
      <c r="K1138" s="86"/>
      <c r="L1138" s="86"/>
      <c r="M1138" s="86"/>
      <c r="N1138" s="86"/>
      <c r="O1138" s="86"/>
      <c r="P1138" s="86"/>
      <c r="Q1138" s="86"/>
      <c r="R1138" s="203"/>
      <c r="S1138" s="403"/>
    </row>
    <row r="1139" spans="3:22">
      <c r="C1139" s="205"/>
      <c r="D1139" s="267"/>
      <c r="E1139" s="86"/>
      <c r="F1139" s="86"/>
      <c r="G1139" s="86"/>
      <c r="H1139" s="86"/>
      <c r="I1139" s="86"/>
      <c r="J1139" s="86"/>
      <c r="K1139" s="86"/>
      <c r="L1139" s="86"/>
      <c r="M1139" s="86"/>
      <c r="N1139" s="86"/>
      <c r="O1139" s="86"/>
      <c r="P1139" s="86"/>
      <c r="Q1139" s="86"/>
      <c r="R1139" s="203"/>
      <c r="S1139" s="403"/>
    </row>
    <row r="1140" spans="3:22">
      <c r="C1140" s="205"/>
      <c r="D1140" s="276" t="s">
        <v>1056</v>
      </c>
      <c r="E1140" s="86" t="s">
        <v>1421</v>
      </c>
      <c r="F1140" s="86"/>
      <c r="G1140" s="86"/>
      <c r="H1140" s="86"/>
      <c r="I1140" s="86"/>
      <c r="J1140" s="86"/>
      <c r="K1140" s="86"/>
      <c r="L1140" s="86"/>
      <c r="M1140" s="86"/>
      <c r="N1140" s="86"/>
      <c r="O1140" s="86"/>
      <c r="P1140" s="86"/>
      <c r="Q1140" s="86"/>
      <c r="R1140" s="203"/>
      <c r="S1140" s="403"/>
    </row>
    <row r="1141" spans="3:22">
      <c r="C1141" s="205"/>
      <c r="D1141" s="267"/>
      <c r="E1141" s="86"/>
      <c r="F1141" s="86"/>
      <c r="G1141" s="86"/>
      <c r="H1141" s="86"/>
      <c r="I1141" s="86"/>
      <c r="J1141" s="86"/>
      <c r="K1141" s="86"/>
      <c r="L1141" s="86"/>
      <c r="M1141" s="86"/>
      <c r="N1141" s="86"/>
      <c r="O1141" s="86"/>
      <c r="P1141" s="86"/>
      <c r="Q1141" s="86"/>
      <c r="R1141" s="203"/>
      <c r="S1141" s="403"/>
      <c r="U1141" s="472"/>
    </row>
    <row r="1142" spans="3:22">
      <c r="C1142" s="205"/>
      <c r="D1142" s="267"/>
      <c r="E1142" s="974" t="s">
        <v>1219</v>
      </c>
      <c r="F1142" s="975"/>
      <c r="G1142" s="975"/>
      <c r="H1142" s="975"/>
      <c r="I1142" s="975"/>
      <c r="J1142" s="975"/>
      <c r="K1142" s="975"/>
      <c r="L1142" s="975"/>
      <c r="M1142" s="975"/>
      <c r="N1142" s="975"/>
      <c r="O1142" s="975"/>
      <c r="P1142" s="975"/>
      <c r="Q1142" s="976"/>
      <c r="R1142" s="157">
        <f>K1112-((((F1107*F1108*F1109)*G1104)))</f>
        <v>18</v>
      </c>
      <c r="S1142" s="156" t="s">
        <v>18</v>
      </c>
      <c r="U1142" s="236"/>
      <c r="V1142" s="534"/>
    </row>
    <row r="1143" spans="3:22">
      <c r="C1143" s="205"/>
      <c r="D1143" s="267"/>
      <c r="E1143" s="123"/>
      <c r="F1143" s="123"/>
      <c r="G1143" s="123"/>
      <c r="H1143" s="123"/>
      <c r="I1143" s="123"/>
      <c r="J1143" s="123"/>
      <c r="K1143" s="123"/>
      <c r="L1143" s="123"/>
      <c r="M1143" s="123"/>
      <c r="N1143" s="123"/>
      <c r="O1143" s="123"/>
      <c r="P1143" s="123"/>
      <c r="Q1143" s="123"/>
      <c r="R1143" s="158"/>
      <c r="S1143" s="403"/>
      <c r="U1143" s="236"/>
      <c r="V1143" s="534"/>
    </row>
    <row r="1144" spans="3:22">
      <c r="C1144" s="205"/>
      <c r="D1144" s="267"/>
      <c r="E1144" s="86"/>
      <c r="F1144" s="86"/>
      <c r="G1144" s="86"/>
      <c r="H1144" s="86"/>
      <c r="I1144" s="86"/>
      <c r="J1144" s="86"/>
      <c r="K1144" s="86"/>
      <c r="L1144" s="86"/>
      <c r="M1144" s="86"/>
      <c r="N1144" s="86"/>
      <c r="O1144" s="86"/>
      <c r="P1144" s="86"/>
      <c r="Q1144" s="86"/>
      <c r="R1144" s="203"/>
      <c r="S1144" s="403"/>
    </row>
    <row r="1145" spans="3:22">
      <c r="C1145" s="205"/>
      <c r="D1145" s="276" t="s">
        <v>1057</v>
      </c>
      <c r="E1145" s="173" t="s">
        <v>23</v>
      </c>
      <c r="F1145" s="86"/>
      <c r="G1145" s="86"/>
      <c r="H1145" s="86"/>
      <c r="I1145" s="86"/>
      <c r="J1145" s="86"/>
      <c r="K1145" s="86"/>
      <c r="L1145" s="86"/>
      <c r="M1145" s="86"/>
      <c r="N1145" s="86"/>
      <c r="O1145" s="86"/>
      <c r="P1145" s="86"/>
      <c r="Q1145" s="86"/>
      <c r="R1145" s="158"/>
      <c r="S1145" s="403"/>
    </row>
    <row r="1146" spans="3:22">
      <c r="C1146" s="205"/>
      <c r="D1146" s="267"/>
      <c r="E1146" s="86"/>
      <c r="F1146" s="86"/>
      <c r="G1146" s="86"/>
      <c r="H1146" s="86"/>
      <c r="I1146" s="86"/>
      <c r="J1146" s="86"/>
      <c r="K1146" s="86"/>
      <c r="L1146" s="86"/>
      <c r="M1146" s="86"/>
      <c r="N1146" s="86"/>
      <c r="O1146" s="86"/>
      <c r="P1146" s="86"/>
      <c r="Q1146" s="86"/>
      <c r="R1146" s="158"/>
      <c r="S1146" s="403"/>
    </row>
    <row r="1147" spans="3:22" ht="12.75" customHeight="1">
      <c r="C1147" s="205"/>
      <c r="D1147" s="267"/>
      <c r="E1147" s="986" t="s">
        <v>1341</v>
      </c>
      <c r="F1147" s="987"/>
      <c r="G1147" s="987"/>
      <c r="H1147" s="987"/>
      <c r="I1147" s="987"/>
      <c r="J1147" s="987"/>
      <c r="K1147" s="987"/>
      <c r="L1147" s="987"/>
      <c r="M1147" s="987"/>
      <c r="N1147" s="987"/>
      <c r="O1147" s="987"/>
      <c r="P1147" s="987"/>
      <c r="Q1147" s="988"/>
      <c r="R1147" s="157">
        <f>((F1107*F1108*F1109)*G1104)</f>
        <v>6</v>
      </c>
      <c r="S1147" s="156" t="s">
        <v>18</v>
      </c>
    </row>
    <row r="1148" spans="3:22">
      <c r="C1148" s="205"/>
      <c r="D1148" s="267"/>
      <c r="E1148" s="395"/>
      <c r="F1148" s="395"/>
      <c r="G1148" s="395"/>
      <c r="H1148" s="395"/>
      <c r="I1148" s="395"/>
      <c r="J1148" s="395"/>
      <c r="K1148" s="395"/>
      <c r="L1148" s="395"/>
      <c r="M1148" s="395"/>
      <c r="N1148" s="395"/>
      <c r="O1148" s="395"/>
      <c r="P1148" s="395"/>
      <c r="Q1148" s="395"/>
      <c r="R1148" s="158"/>
      <c r="S1148" s="403"/>
    </row>
    <row r="1149" spans="3:22">
      <c r="C1149" s="205"/>
      <c r="D1149" s="267"/>
      <c r="E1149" s="395"/>
      <c r="F1149" s="395"/>
      <c r="G1149" s="395"/>
      <c r="H1149" s="395"/>
      <c r="I1149" s="395"/>
      <c r="J1149" s="395"/>
      <c r="K1149" s="395"/>
      <c r="L1149" s="395"/>
      <c r="M1149" s="395"/>
      <c r="N1149" s="395"/>
      <c r="O1149" s="395"/>
      <c r="P1149" s="395"/>
      <c r="Q1149" s="395"/>
      <c r="R1149" s="158"/>
      <c r="S1149" s="403"/>
    </row>
    <row r="1150" spans="3:22">
      <c r="C1150" s="205" t="s">
        <v>1066</v>
      </c>
      <c r="D1150" s="396" t="s">
        <v>1342</v>
      </c>
      <c r="F1150" s="123"/>
      <c r="G1150" s="395"/>
      <c r="H1150" s="395"/>
      <c r="I1150" s="395"/>
      <c r="J1150" s="395"/>
      <c r="K1150" s="395"/>
      <c r="L1150" s="395"/>
      <c r="M1150" s="395"/>
      <c r="N1150" s="395"/>
      <c r="O1150" s="395"/>
      <c r="P1150" s="395"/>
      <c r="Q1150" s="395"/>
      <c r="R1150" s="395"/>
      <c r="S1150" s="158"/>
      <c r="T1150" s="403"/>
    </row>
    <row r="1151" spans="3:22">
      <c r="C1151" s="205"/>
      <c r="D1151" s="205"/>
      <c r="E1151" s="174"/>
      <c r="F1151" s="123"/>
      <c r="G1151" s="395"/>
      <c r="H1151" s="395"/>
      <c r="I1151" s="395"/>
      <c r="J1151" s="395"/>
      <c r="K1151" s="395"/>
      <c r="L1151" s="395"/>
      <c r="M1151" s="395"/>
      <c r="N1151" s="395"/>
      <c r="O1151" s="395"/>
      <c r="P1151" s="395"/>
      <c r="Q1151" s="395"/>
      <c r="R1151" s="395"/>
      <c r="S1151" s="158"/>
      <c r="T1151" s="403"/>
    </row>
    <row r="1152" spans="3:22">
      <c r="C1152" s="205"/>
      <c r="D1152" s="205"/>
      <c r="E1152" s="1020" t="s">
        <v>102</v>
      </c>
      <c r="F1152" s="1020"/>
      <c r="G1152" s="1020"/>
      <c r="H1152" s="1020"/>
      <c r="I1152" s="1020"/>
      <c r="J1152" s="1020"/>
      <c r="K1152" s="1020"/>
      <c r="L1152" s="1020"/>
      <c r="M1152" s="1020"/>
      <c r="N1152" s="1020"/>
      <c r="O1152" s="395"/>
      <c r="P1152" s="395"/>
      <c r="Q1152" s="395"/>
      <c r="R1152" s="395"/>
      <c r="S1152" s="158"/>
      <c r="T1152" s="403"/>
    </row>
    <row r="1153" spans="3:20">
      <c r="D1153" s="205"/>
      <c r="E1153" s="1003" t="s">
        <v>103</v>
      </c>
      <c r="F1153" s="1003"/>
      <c r="G1153" s="1003"/>
      <c r="H1153" s="1003"/>
      <c r="I1153" s="1003"/>
      <c r="J1153" s="1003" t="s">
        <v>1</v>
      </c>
      <c r="K1153" s="1003"/>
      <c r="L1153" s="1003"/>
      <c r="M1153" s="1003"/>
      <c r="N1153" s="1003"/>
      <c r="O1153" s="395"/>
      <c r="P1153" s="395"/>
      <c r="Q1153" s="395"/>
      <c r="R1153" s="395"/>
      <c r="S1153" s="158"/>
      <c r="T1153" s="403"/>
    </row>
    <row r="1154" spans="3:20">
      <c r="D1154" s="205"/>
      <c r="E1154" s="1006"/>
      <c r="F1154" s="1006"/>
      <c r="G1154" s="1006"/>
      <c r="H1154" s="1006"/>
      <c r="I1154" s="1006"/>
      <c r="J1154" s="1006"/>
      <c r="K1154" s="1006"/>
      <c r="L1154" s="1006"/>
      <c r="M1154" s="1006"/>
      <c r="N1154" s="1006"/>
      <c r="O1154" s="395"/>
      <c r="P1154" s="395"/>
      <c r="Q1154" s="395"/>
      <c r="R1154" s="395"/>
      <c r="S1154" s="158"/>
      <c r="T1154" s="403"/>
    </row>
    <row r="1155" spans="3:20">
      <c r="D1155" s="205"/>
      <c r="E1155" s="544">
        <v>4</v>
      </c>
      <c r="F1155" s="542" t="s">
        <v>108</v>
      </c>
      <c r="G1155" s="993" t="s">
        <v>109</v>
      </c>
      <c r="H1155" s="993"/>
      <c r="I1155" s="993"/>
      <c r="J1155" s="544">
        <f>$I$579*E1155</f>
        <v>8</v>
      </c>
      <c r="K1155" s="542" t="s">
        <v>108</v>
      </c>
      <c r="L1155" s="993" t="s">
        <v>109</v>
      </c>
      <c r="M1155" s="993"/>
      <c r="N1155" s="993"/>
      <c r="O1155" s="395"/>
      <c r="P1155" s="395"/>
      <c r="Q1155" s="395"/>
      <c r="R1155" s="395"/>
      <c r="S1155" s="158"/>
      <c r="T1155" s="403"/>
    </row>
    <row r="1156" spans="3:20">
      <c r="D1156" s="205"/>
      <c r="E1156" s="544">
        <v>8</v>
      </c>
      <c r="F1156" s="542" t="s">
        <v>108</v>
      </c>
      <c r="G1156" s="993" t="s">
        <v>110</v>
      </c>
      <c r="H1156" s="993"/>
      <c r="I1156" s="993"/>
      <c r="J1156" s="544">
        <f t="shared" ref="J1156:J1158" si="19">$I$579*E1156</f>
        <v>16</v>
      </c>
      <c r="K1156" s="542" t="s">
        <v>108</v>
      </c>
      <c r="L1156" s="993" t="s">
        <v>110</v>
      </c>
      <c r="M1156" s="993"/>
      <c r="N1156" s="993"/>
      <c r="O1156" s="395"/>
      <c r="P1156" s="395"/>
      <c r="Q1156" s="395"/>
      <c r="R1156" s="395"/>
      <c r="S1156" s="158"/>
      <c r="T1156" s="403"/>
    </row>
    <row r="1157" spans="3:20" ht="13.5" customHeight="1">
      <c r="D1157" s="205"/>
      <c r="E1157" s="544">
        <v>8</v>
      </c>
      <c r="F1157" s="542" t="s">
        <v>108</v>
      </c>
      <c r="G1157" s="993" t="s">
        <v>113</v>
      </c>
      <c r="H1157" s="993"/>
      <c r="I1157" s="993"/>
      <c r="J1157" s="544">
        <f t="shared" si="19"/>
        <v>16</v>
      </c>
      <c r="K1157" s="542" t="s">
        <v>108</v>
      </c>
      <c r="L1157" s="993" t="s">
        <v>113</v>
      </c>
      <c r="M1157" s="993"/>
      <c r="N1157" s="993"/>
      <c r="O1157" s="395"/>
      <c r="P1157" s="395"/>
      <c r="Q1157" s="395"/>
      <c r="R1157" s="395"/>
      <c r="S1157" s="158"/>
      <c r="T1157" s="403"/>
    </row>
    <row r="1158" spans="3:20" ht="13.5" customHeight="1">
      <c r="D1158" s="205"/>
      <c r="E1158" s="544">
        <v>8</v>
      </c>
      <c r="F1158" s="542" t="s">
        <v>108</v>
      </c>
      <c r="G1158" s="993" t="s">
        <v>1221</v>
      </c>
      <c r="H1158" s="993"/>
      <c r="I1158" s="993"/>
      <c r="J1158" s="544">
        <f t="shared" si="19"/>
        <v>16</v>
      </c>
      <c r="K1158" s="542" t="s">
        <v>108</v>
      </c>
      <c r="L1158" s="993" t="s">
        <v>1221</v>
      </c>
      <c r="M1158" s="993"/>
      <c r="N1158" s="993"/>
      <c r="O1158" s="395"/>
      <c r="P1158" s="395"/>
      <c r="Q1158" s="395"/>
      <c r="R1158" s="395"/>
      <c r="S1158" s="158"/>
      <c r="T1158" s="403"/>
    </row>
    <row r="1159" spans="3:20" ht="13.5" customHeight="1">
      <c r="D1159" s="205"/>
      <c r="E1159" s="174"/>
      <c r="F1159" s="123"/>
      <c r="G1159" s="395"/>
      <c r="H1159" s="395"/>
      <c r="I1159" s="395"/>
      <c r="J1159" s="395"/>
      <c r="K1159" s="395"/>
      <c r="L1159" s="395"/>
      <c r="M1159" s="395"/>
      <c r="N1159" s="395"/>
      <c r="O1159" s="395"/>
      <c r="P1159" s="395"/>
      <c r="Q1159" s="395"/>
      <c r="R1159" s="395"/>
      <c r="S1159" s="158"/>
      <c r="T1159" s="403"/>
    </row>
    <row r="1160" spans="3:20">
      <c r="D1160" s="205"/>
      <c r="E1160" s="174"/>
      <c r="F1160" s="123"/>
      <c r="G1160" s="395"/>
      <c r="H1160" s="395"/>
      <c r="I1160" s="395"/>
      <c r="J1160" s="395"/>
      <c r="K1160" s="395"/>
      <c r="L1160" s="395"/>
      <c r="M1160" s="395"/>
      <c r="N1160" s="395"/>
      <c r="O1160" s="395"/>
      <c r="P1160" s="395"/>
      <c r="Q1160" s="395"/>
      <c r="R1160" s="395"/>
      <c r="S1160" s="158"/>
      <c r="T1160" s="403"/>
    </row>
    <row r="1161" spans="3:20" ht="15" customHeight="1">
      <c r="D1161" s="403" t="s">
        <v>1067</v>
      </c>
      <c r="E1161" s="123" t="s">
        <v>1208</v>
      </c>
      <c r="F1161" s="395"/>
      <c r="G1161" s="395"/>
      <c r="H1161" s="395"/>
      <c r="I1161" s="395"/>
      <c r="K1161" s="395"/>
      <c r="L1161" s="395"/>
      <c r="M1161" s="395"/>
      <c r="N1161" s="395"/>
      <c r="O1161" s="395"/>
      <c r="P1161" s="395"/>
      <c r="Q1161" s="395"/>
      <c r="R1161" s="395"/>
      <c r="S1161" s="157">
        <f>J1155</f>
        <v>8</v>
      </c>
      <c r="T1161" s="11" t="s">
        <v>352</v>
      </c>
    </row>
    <row r="1162" spans="3:20" ht="15" customHeight="1">
      <c r="D1162" s="403" t="s">
        <v>1068</v>
      </c>
      <c r="E1162" s="8" t="s">
        <v>1177</v>
      </c>
      <c r="F1162" s="398"/>
      <c r="G1162" s="399"/>
      <c r="H1162" s="399"/>
      <c r="I1162" s="399"/>
      <c r="K1162" s="399"/>
      <c r="L1162" s="399"/>
      <c r="M1162" s="399"/>
      <c r="N1162" s="399"/>
      <c r="O1162" s="399"/>
      <c r="P1162" s="399"/>
      <c r="Q1162" s="399"/>
      <c r="R1162" s="399"/>
      <c r="S1162" s="157">
        <f t="shared" ref="S1162:S1164" si="20">J1156</f>
        <v>16</v>
      </c>
      <c r="T1162" s="11" t="s">
        <v>352</v>
      </c>
    </row>
    <row r="1163" spans="3:20" ht="15" customHeight="1">
      <c r="D1163" s="403" t="s">
        <v>1069</v>
      </c>
      <c r="E1163" s="8" t="s">
        <v>1161</v>
      </c>
      <c r="F1163" s="398"/>
      <c r="G1163" s="399"/>
      <c r="H1163" s="399"/>
      <c r="I1163" s="399"/>
      <c r="K1163" s="399"/>
      <c r="L1163" s="399"/>
      <c r="M1163" s="399"/>
      <c r="N1163" s="399"/>
      <c r="O1163" s="399"/>
      <c r="P1163" s="399"/>
      <c r="Q1163" s="399"/>
      <c r="R1163" s="399"/>
      <c r="S1163" s="157">
        <f t="shared" si="20"/>
        <v>16</v>
      </c>
      <c r="T1163" s="11" t="s">
        <v>352</v>
      </c>
    </row>
    <row r="1164" spans="3:20" ht="15" customHeight="1">
      <c r="D1164" s="403" t="s">
        <v>1070</v>
      </c>
      <c r="E1164" s="8" t="s">
        <v>1162</v>
      </c>
      <c r="F1164" s="398"/>
      <c r="G1164" s="399"/>
      <c r="H1164" s="399"/>
      <c r="I1164" s="399"/>
      <c r="K1164" s="399"/>
      <c r="L1164" s="399"/>
      <c r="M1164" s="399"/>
      <c r="N1164" s="399"/>
      <c r="O1164" s="399"/>
      <c r="P1164" s="399"/>
      <c r="Q1164" s="399"/>
      <c r="R1164" s="399"/>
      <c r="S1164" s="157">
        <f t="shared" si="20"/>
        <v>16</v>
      </c>
      <c r="T1164" s="11" t="s">
        <v>352</v>
      </c>
    </row>
    <row r="1165" spans="3:20">
      <c r="E1165" s="403"/>
      <c r="F1165" s="86"/>
      <c r="G1165" s="395"/>
      <c r="H1165" s="395"/>
      <c r="I1165" s="395"/>
      <c r="J1165" s="395"/>
      <c r="K1165" s="395"/>
      <c r="L1165" s="395"/>
      <c r="M1165" s="395"/>
      <c r="N1165" s="395"/>
      <c r="O1165" s="395"/>
      <c r="P1165" s="395"/>
      <c r="Q1165" s="395"/>
      <c r="R1165" s="395"/>
      <c r="S1165" s="158"/>
      <c r="T1165" s="403"/>
    </row>
    <row r="1166" spans="3:20">
      <c r="E1166" s="403"/>
      <c r="F1166" s="86"/>
      <c r="G1166" s="395"/>
      <c r="H1166" s="395"/>
      <c r="I1166" s="395"/>
      <c r="J1166" s="395"/>
      <c r="K1166" s="395"/>
      <c r="L1166" s="395"/>
      <c r="M1166" s="395"/>
      <c r="N1166" s="395"/>
      <c r="O1166" s="395"/>
      <c r="P1166" s="395"/>
      <c r="Q1166" s="395"/>
      <c r="R1166" s="395"/>
      <c r="S1166" s="158"/>
      <c r="T1166" s="403"/>
    </row>
    <row r="1167" spans="3:20">
      <c r="C1167" s="205" t="s">
        <v>1071</v>
      </c>
      <c r="D1167" s="396" t="s">
        <v>1145</v>
      </c>
      <c r="F1167" s="86"/>
      <c r="G1167" s="395"/>
      <c r="H1167" s="395"/>
      <c r="I1167" s="395"/>
      <c r="J1167" s="395"/>
      <c r="K1167" s="395"/>
      <c r="L1167" s="395"/>
      <c r="M1167" s="395"/>
      <c r="N1167" s="395"/>
      <c r="O1167" s="395"/>
      <c r="P1167" s="395"/>
      <c r="Q1167" s="395"/>
      <c r="R1167" s="395"/>
      <c r="S1167" s="158"/>
      <c r="T1167" s="403"/>
    </row>
    <row r="1168" spans="3:20">
      <c r="E1168" s="403"/>
      <c r="F1168" s="86"/>
      <c r="G1168" s="395"/>
      <c r="H1168" s="395"/>
      <c r="I1168" s="395"/>
      <c r="J1168" s="395"/>
      <c r="K1168" s="395"/>
      <c r="L1168" s="395"/>
      <c r="M1168" s="395"/>
      <c r="N1168" s="395"/>
      <c r="O1168" s="395"/>
      <c r="P1168" s="395"/>
      <c r="Q1168" s="395"/>
      <c r="R1168" s="395"/>
      <c r="S1168" s="158"/>
      <c r="T1168" s="403"/>
    </row>
    <row r="1169" spans="4:20" ht="45.75" customHeight="1">
      <c r="D1169" s="576" t="s">
        <v>1072</v>
      </c>
      <c r="E1169" s="635" t="s">
        <v>919</v>
      </c>
      <c r="F1169" s="635"/>
      <c r="G1169" s="577">
        <f>F1187</f>
        <v>75</v>
      </c>
      <c r="H1169" s="576" t="s">
        <v>987</v>
      </c>
      <c r="I1169" s="573"/>
      <c r="J1169" s="1087" t="s">
        <v>836</v>
      </c>
      <c r="K1169" s="1088"/>
      <c r="L1169" s="1089"/>
      <c r="M1169" s="633"/>
      <c r="N1169" s="563"/>
      <c r="R1169" s="395"/>
      <c r="S1169" s="158"/>
      <c r="T1169" s="403"/>
    </row>
    <row r="1170" spans="4:20" ht="39.75" customHeight="1">
      <c r="D1170" s="576" t="s">
        <v>1073</v>
      </c>
      <c r="E1170" s="635" t="s">
        <v>920</v>
      </c>
      <c r="F1170" s="635"/>
      <c r="G1170" s="577">
        <f>F1186</f>
        <v>182</v>
      </c>
      <c r="H1170" s="576" t="s">
        <v>987</v>
      </c>
      <c r="I1170" s="573"/>
      <c r="J1170" s="567"/>
      <c r="K1170" s="568">
        <v>5</v>
      </c>
      <c r="L1170" s="575" t="s">
        <v>107</v>
      </c>
      <c r="M1170" s="632"/>
      <c r="N1170" s="563"/>
      <c r="R1170" s="395"/>
      <c r="S1170" s="158"/>
      <c r="T1170" s="403"/>
    </row>
    <row r="1171" spans="4:20" ht="27" customHeight="1">
      <c r="D1171" s="576" t="s">
        <v>1074</v>
      </c>
      <c r="E1171" s="635" t="s">
        <v>921</v>
      </c>
      <c r="F1171" s="635"/>
      <c r="G1171" s="577">
        <f>K1172*K1186</f>
        <v>577.59715789784809</v>
      </c>
      <c r="H1171" s="576" t="s">
        <v>839</v>
      </c>
      <c r="I1171" s="573"/>
      <c r="J1171" s="567"/>
      <c r="K1171" s="634"/>
      <c r="L1171" s="569"/>
      <c r="M1171" s="563"/>
      <c r="N1171" s="563"/>
      <c r="R1171" s="395"/>
      <c r="S1171" s="158"/>
      <c r="T1171" s="403"/>
    </row>
    <row r="1172" spans="4:20" ht="13.5" customHeight="1">
      <c r="D1172" s="576" t="s">
        <v>1075</v>
      </c>
      <c r="E1172" s="635" t="s">
        <v>922</v>
      </c>
      <c r="F1172" s="635"/>
      <c r="G1172" s="577">
        <f>K1172*K1187</f>
        <v>1.2977886141517274</v>
      </c>
      <c r="H1172" s="576" t="s">
        <v>842</v>
      </c>
      <c r="I1172" s="573"/>
      <c r="J1172" s="570" t="s">
        <v>843</v>
      </c>
      <c r="K1172" s="571">
        <v>1</v>
      </c>
      <c r="L1172" s="572" t="s">
        <v>987</v>
      </c>
      <c r="M1172" s="632"/>
      <c r="N1172" s="563"/>
      <c r="R1172" s="395"/>
      <c r="S1172" s="158"/>
      <c r="T1172" s="403"/>
    </row>
    <row r="1173" spans="4:20" ht="15" customHeight="1">
      <c r="D1173" s="576" t="s">
        <v>1076</v>
      </c>
      <c r="E1173" s="635" t="s">
        <v>923</v>
      </c>
      <c r="F1173" s="635"/>
      <c r="G1173" s="577">
        <f>K1172*K1188</f>
        <v>1.2165640138223426</v>
      </c>
      <c r="H1173" s="576" t="s">
        <v>842</v>
      </c>
      <c r="I1173" s="573"/>
      <c r="J1173" s="574"/>
      <c r="K1173" s="573"/>
      <c r="L1173" s="573"/>
      <c r="M1173" s="573"/>
      <c r="N1173" s="286"/>
      <c r="O1173" s="286"/>
      <c r="P1173" s="286"/>
      <c r="Q1173" s="286"/>
      <c r="R1173" s="395"/>
      <c r="S1173" s="158"/>
      <c r="T1173" s="403"/>
    </row>
    <row r="1174" spans="4:20" ht="40.5" customHeight="1">
      <c r="D1174" s="576" t="s">
        <v>1077</v>
      </c>
      <c r="E1174" s="635" t="s">
        <v>924</v>
      </c>
      <c r="F1174" s="635"/>
      <c r="G1174" s="577">
        <v>1</v>
      </c>
      <c r="H1174" s="576" t="s">
        <v>839</v>
      </c>
      <c r="I1174" s="573"/>
      <c r="J1174" s="973" t="s">
        <v>1433</v>
      </c>
      <c r="K1174" s="973"/>
      <c r="L1174" s="973"/>
      <c r="M1174" s="973"/>
      <c r="N1174" s="286"/>
      <c r="O1174" s="286"/>
      <c r="P1174" s="286"/>
      <c r="Q1174" s="286"/>
      <c r="R1174" s="395"/>
      <c r="S1174" s="158"/>
      <c r="T1174" s="403"/>
    </row>
    <row r="1175" spans="4:20" ht="15" customHeight="1">
      <c r="D1175" s="576" t="s">
        <v>1078</v>
      </c>
      <c r="E1175" s="635" t="s">
        <v>925</v>
      </c>
      <c r="F1175" s="635"/>
      <c r="G1175" s="577">
        <f>1*(M1203+M1204+M1205)</f>
        <v>155.34288000000001</v>
      </c>
      <c r="H1175" s="576" t="s">
        <v>839</v>
      </c>
      <c r="I1175" s="573"/>
      <c r="J1175" s="973"/>
      <c r="K1175" s="973"/>
      <c r="L1175" s="973"/>
      <c r="M1175" s="973"/>
      <c r="N1175" s="286"/>
      <c r="O1175" s="286"/>
      <c r="P1175" s="286"/>
      <c r="Q1175" s="286"/>
      <c r="R1175" s="395"/>
      <c r="S1175" s="158"/>
      <c r="T1175" s="403"/>
    </row>
    <row r="1176" spans="4:20" ht="15" customHeight="1">
      <c r="D1176" s="576" t="s">
        <v>1079</v>
      </c>
      <c r="E1176" s="635" t="s">
        <v>926</v>
      </c>
      <c r="F1176" s="635"/>
      <c r="G1176" s="577">
        <f>1*(M1201+M1202)</f>
        <v>58.08</v>
      </c>
      <c r="H1176" s="576" t="s">
        <v>839</v>
      </c>
      <c r="I1176" s="573"/>
      <c r="J1176" s="973"/>
      <c r="K1176" s="973"/>
      <c r="L1176" s="973"/>
      <c r="M1176" s="973"/>
      <c r="N1176" s="286"/>
      <c r="O1176" s="286"/>
      <c r="P1176" s="286"/>
      <c r="Q1176" s="286"/>
      <c r="R1176" s="395"/>
      <c r="S1176" s="158"/>
      <c r="T1176" s="403"/>
    </row>
    <row r="1177" spans="4:20" ht="15" customHeight="1">
      <c r="D1177" s="576"/>
      <c r="E1177" s="624"/>
      <c r="F1177" s="624"/>
      <c r="G1177" s="577"/>
      <c r="H1177" s="576"/>
      <c r="I1177" s="573"/>
      <c r="J1177" s="973"/>
      <c r="K1177" s="973"/>
      <c r="L1177" s="973"/>
      <c r="M1177" s="973"/>
      <c r="N1177" s="286"/>
      <c r="O1177" s="286"/>
      <c r="P1177" s="286"/>
      <c r="Q1177" s="286"/>
      <c r="R1177" s="395"/>
      <c r="S1177" s="158"/>
      <c r="T1177" s="403"/>
    </row>
    <row r="1178" spans="4:20" ht="15" customHeight="1">
      <c r="D1178" s="576"/>
      <c r="E1178" s="624"/>
      <c r="F1178" s="624"/>
      <c r="G1178" s="577"/>
      <c r="H1178" s="576"/>
      <c r="I1178" s="573"/>
      <c r="J1178" s="610"/>
      <c r="K1178" s="610"/>
      <c r="L1178" s="610"/>
      <c r="M1178" s="610"/>
      <c r="N1178" s="286"/>
      <c r="O1178" s="286"/>
      <c r="P1178" s="286"/>
      <c r="Q1178" s="286"/>
      <c r="R1178" s="395"/>
      <c r="S1178" s="158"/>
      <c r="T1178" s="403"/>
    </row>
    <row r="1179" spans="4:20" ht="15" customHeight="1">
      <c r="D1179" s="1084" t="s">
        <v>928</v>
      </c>
      <c r="E1179" s="1085"/>
      <c r="F1179" s="1085"/>
      <c r="G1179" s="1085"/>
      <c r="H1179" s="1085"/>
      <c r="I1179" s="1085"/>
      <c r="J1179" s="1085"/>
      <c r="K1179" s="1085"/>
      <c r="L1179" s="1085"/>
      <c r="M1179" s="1085"/>
      <c r="N1179" s="1085"/>
      <c r="O1179" s="1086"/>
      <c r="P1179" s="286"/>
      <c r="Q1179" s="286"/>
      <c r="R1179" s="395"/>
      <c r="S1179" s="158"/>
      <c r="T1179" s="403"/>
    </row>
    <row r="1180" spans="4:20" ht="15" customHeight="1">
      <c r="D1180" s="578"/>
      <c r="E1180" s="579"/>
      <c r="F1180" s="579"/>
      <c r="G1180" s="579"/>
      <c r="H1180" s="579"/>
      <c r="I1180" s="579"/>
      <c r="J1180" s="579"/>
      <c r="K1180" s="579"/>
      <c r="L1180" s="579"/>
      <c r="M1180" s="579"/>
      <c r="N1180" s="580"/>
      <c r="O1180" s="581"/>
      <c r="P1180" s="286"/>
      <c r="Q1180" s="286"/>
      <c r="R1180" s="395"/>
      <c r="S1180" s="158"/>
      <c r="T1180" s="403"/>
    </row>
    <row r="1181" spans="4:20" ht="15" customHeight="1">
      <c r="D1181" s="582"/>
      <c r="E1181" s="1083" t="s">
        <v>927</v>
      </c>
      <c r="F1181" s="1083"/>
      <c r="G1181" s="1083"/>
      <c r="H1181" s="1083"/>
      <c r="I1181" s="565"/>
      <c r="J1181" s="1083" t="s">
        <v>856</v>
      </c>
      <c r="K1181" s="1083"/>
      <c r="L1181" s="1083"/>
      <c r="M1181" s="1083"/>
      <c r="N1181" s="1083"/>
      <c r="O1181" s="583"/>
      <c r="P1181" s="286"/>
      <c r="Q1181" s="286"/>
      <c r="R1181" s="395"/>
      <c r="S1181" s="158"/>
      <c r="T1181" s="403"/>
    </row>
    <row r="1182" spans="4:20" ht="15" customHeight="1">
      <c r="D1182" s="582"/>
      <c r="E1182" s="584" t="s">
        <v>857</v>
      </c>
      <c r="F1182" s="584" t="s">
        <v>822</v>
      </c>
      <c r="G1182" s="584" t="s">
        <v>858</v>
      </c>
      <c r="H1182" s="584" t="s">
        <v>859</v>
      </c>
      <c r="I1182" s="565"/>
      <c r="J1182" s="1074" t="s">
        <v>860</v>
      </c>
      <c r="K1182" s="1074" t="s">
        <v>861</v>
      </c>
      <c r="L1182" s="1074" t="s">
        <v>862</v>
      </c>
      <c r="M1182" s="1074" t="s">
        <v>863</v>
      </c>
      <c r="N1182" s="1076" t="s">
        <v>864</v>
      </c>
      <c r="O1182" s="583"/>
      <c r="P1182" s="286"/>
      <c r="Q1182" s="286"/>
      <c r="R1182" s="395"/>
      <c r="S1182" s="158"/>
      <c r="T1182" s="403"/>
    </row>
    <row r="1183" spans="4:20" ht="15" customHeight="1">
      <c r="D1183" s="582"/>
      <c r="E1183" s="585" t="s">
        <v>865</v>
      </c>
      <c r="F1183" s="586">
        <f>F1184-0.4</f>
        <v>2</v>
      </c>
      <c r="G1183" s="586">
        <f>G1184-0.4</f>
        <v>2</v>
      </c>
      <c r="H1183" s="586">
        <v>2</v>
      </c>
      <c r="I1183" s="565"/>
      <c r="J1183" s="1075"/>
      <c r="K1183" s="1075"/>
      <c r="L1183" s="1075"/>
      <c r="M1183" s="1075"/>
      <c r="N1183" s="1076"/>
      <c r="O1183" s="583"/>
      <c r="P1183" s="286"/>
      <c r="Q1183" s="286"/>
      <c r="R1183" s="395"/>
      <c r="S1183" s="158"/>
      <c r="T1183" s="403"/>
    </row>
    <row r="1184" spans="4:20" ht="15" customHeight="1">
      <c r="D1184" s="582"/>
      <c r="E1184" s="585" t="s">
        <v>866</v>
      </c>
      <c r="F1184" s="586">
        <v>2.4</v>
      </c>
      <c r="G1184" s="586">
        <v>2.4</v>
      </c>
      <c r="H1184" s="586">
        <v>2</v>
      </c>
      <c r="I1184" s="587"/>
      <c r="J1184" s="588" t="s">
        <v>867</v>
      </c>
      <c r="K1184" s="589">
        <v>6.4</v>
      </c>
      <c r="L1184" s="589">
        <v>0.71899999999999997</v>
      </c>
      <c r="M1184" s="589">
        <v>0.67400000000000004</v>
      </c>
      <c r="N1184" s="589">
        <v>207</v>
      </c>
      <c r="O1184" s="583"/>
      <c r="P1184" s="286"/>
      <c r="Q1184" s="286"/>
      <c r="R1184" s="395"/>
      <c r="S1184" s="158"/>
      <c r="T1184" s="403"/>
    </row>
    <row r="1185" spans="4:20" ht="15" customHeight="1">
      <c r="D1185" s="582"/>
      <c r="E1185" s="564" t="s">
        <v>868</v>
      </c>
      <c r="F1185" s="594" t="s">
        <v>869</v>
      </c>
      <c r="G1185" s="564" t="s">
        <v>830</v>
      </c>
      <c r="H1185" s="565"/>
      <c r="I1185" s="587"/>
      <c r="J1185" s="564" t="s">
        <v>868</v>
      </c>
      <c r="K1185" s="566" t="s">
        <v>30</v>
      </c>
      <c r="L1185" s="564" t="s">
        <v>830</v>
      </c>
      <c r="M1185" s="565"/>
      <c r="N1185" s="565"/>
      <c r="O1185" s="583"/>
      <c r="P1185" s="286"/>
      <c r="Q1185" s="286"/>
      <c r="R1185" s="395"/>
      <c r="S1185" s="158"/>
      <c r="T1185" s="403"/>
    </row>
    <row r="1186" spans="4:20" ht="24.75" customHeight="1">
      <c r="D1186" s="582"/>
      <c r="E1186" s="590" t="s">
        <v>1222</v>
      </c>
      <c r="F1186" s="591">
        <f>ROUND(((((F1184+F1184+G1184+G1184)*H1184)*12.5)-F1187)*1.1,0)</f>
        <v>182</v>
      </c>
      <c r="G1186" s="588" t="s">
        <v>871</v>
      </c>
      <c r="H1186" s="565"/>
      <c r="I1186" s="587"/>
      <c r="J1186" s="585" t="s">
        <v>872</v>
      </c>
      <c r="K1186" s="586">
        <f>H1196*K1184*50</f>
        <v>577.59715789784809</v>
      </c>
      <c r="L1186" s="589" t="s">
        <v>130</v>
      </c>
      <c r="M1186" s="592"/>
      <c r="N1186" s="565"/>
      <c r="O1186" s="583"/>
      <c r="P1186" s="286"/>
      <c r="Q1186" s="286"/>
      <c r="R1186" s="395"/>
      <c r="S1186" s="158"/>
      <c r="T1186" s="403"/>
    </row>
    <row r="1187" spans="4:20" ht="29.25" customHeight="1">
      <c r="D1187" s="582"/>
      <c r="E1187" s="590" t="s">
        <v>1223</v>
      </c>
      <c r="F1187" s="591">
        <f>ROUND((((F1184+F1184+G1184+G1184)*0.19)*3)*12.5*1.1,0)</f>
        <v>75</v>
      </c>
      <c r="G1187" s="588" t="s">
        <v>871</v>
      </c>
      <c r="H1187" s="565"/>
      <c r="I1187" s="587"/>
      <c r="J1187" s="585" t="s">
        <v>874</v>
      </c>
      <c r="K1187" s="586">
        <f>H1196*L1184</f>
        <v>1.2977886141517274</v>
      </c>
      <c r="L1187" s="589" t="s">
        <v>18</v>
      </c>
      <c r="M1187" s="565"/>
      <c r="N1187" s="565"/>
      <c r="O1187" s="583"/>
      <c r="P1187" s="286"/>
      <c r="Q1187" s="286"/>
      <c r="R1187" s="395"/>
      <c r="S1187" s="158"/>
      <c r="T1187" s="403"/>
    </row>
    <row r="1188" spans="4:20" ht="15" customHeight="1">
      <c r="D1188" s="582"/>
      <c r="E1188" s="565"/>
      <c r="F1188" s="565"/>
      <c r="G1188" s="565"/>
      <c r="H1188" s="565"/>
      <c r="I1188" s="587"/>
      <c r="J1188" s="585" t="s">
        <v>875</v>
      </c>
      <c r="K1188" s="586">
        <f>H1196*M1184</f>
        <v>1.2165640138223426</v>
      </c>
      <c r="L1188" s="589" t="s">
        <v>18</v>
      </c>
      <c r="M1188" s="565"/>
      <c r="N1188" s="565"/>
      <c r="O1188" s="583"/>
      <c r="P1188" s="286"/>
      <c r="Q1188" s="286"/>
      <c r="R1188" s="395"/>
      <c r="S1188" s="158"/>
      <c r="T1188" s="403"/>
    </row>
    <row r="1189" spans="4:20" ht="15" customHeight="1">
      <c r="D1189" s="582"/>
      <c r="E1189" s="565"/>
      <c r="F1189" s="565"/>
      <c r="G1189" s="565"/>
      <c r="H1189" s="565"/>
      <c r="I1189" s="587"/>
      <c r="J1189" s="565"/>
      <c r="K1189" s="565"/>
      <c r="L1189" s="565"/>
      <c r="M1189" s="565"/>
      <c r="N1189" s="587"/>
      <c r="O1189" s="583"/>
      <c r="P1189" s="286"/>
      <c r="Q1189" s="286"/>
      <c r="R1189" s="395"/>
      <c r="S1189" s="158"/>
      <c r="T1189" s="403"/>
    </row>
    <row r="1190" spans="4:20" ht="15" customHeight="1">
      <c r="D1190" s="582"/>
      <c r="E1190" s="1083" t="s">
        <v>876</v>
      </c>
      <c r="F1190" s="1083"/>
      <c r="G1190" s="1083"/>
      <c r="H1190" s="1083"/>
      <c r="I1190" s="593"/>
      <c r="J1190" s="1189" t="s">
        <v>877</v>
      </c>
      <c r="K1190" s="1189"/>
      <c r="L1190" s="1189"/>
      <c r="M1190" s="1189"/>
      <c r="N1190" s="1189"/>
      <c r="O1190" s="583"/>
      <c r="P1190" s="286"/>
      <c r="Q1190" s="286"/>
      <c r="R1190" s="395"/>
      <c r="S1190" s="158"/>
      <c r="T1190" s="403"/>
    </row>
    <row r="1191" spans="4:20" ht="22.5" customHeight="1">
      <c r="D1191" s="582"/>
      <c r="E1191" s="594" t="s">
        <v>878</v>
      </c>
      <c r="F1191" s="595" t="s">
        <v>30</v>
      </c>
      <c r="G1191" s="595" t="s">
        <v>879</v>
      </c>
      <c r="H1191" s="595" t="s">
        <v>880</v>
      </c>
      <c r="I1191" s="593"/>
      <c r="J1191" s="1195" t="s">
        <v>881</v>
      </c>
      <c r="K1191" s="564" t="s">
        <v>882</v>
      </c>
      <c r="L1191" s="594" t="s">
        <v>883</v>
      </c>
      <c r="M1191" s="564" t="s">
        <v>884</v>
      </c>
      <c r="N1191" s="564" t="s">
        <v>885</v>
      </c>
      <c r="O1191" s="583"/>
      <c r="P1191" s="286"/>
      <c r="Q1191" s="286"/>
      <c r="R1191" s="395"/>
      <c r="S1191" s="158"/>
      <c r="T1191" s="403"/>
    </row>
    <row r="1192" spans="4:20" ht="15" customHeight="1">
      <c r="D1192" s="582"/>
      <c r="E1192" s="596" t="s">
        <v>886</v>
      </c>
      <c r="F1192" s="586">
        <v>6</v>
      </c>
      <c r="G1192" s="597">
        <f>((PI()*0.2*0.2)/4)*2</f>
        <v>6.2831853071795868E-2</v>
      </c>
      <c r="H1192" s="586">
        <f>G1192*F1192</f>
        <v>0.37699111843077521</v>
      </c>
      <c r="I1192" s="593"/>
      <c r="J1192" s="1196"/>
      <c r="K1192" s="586">
        <f>F1183</f>
        <v>2</v>
      </c>
      <c r="L1192" s="586">
        <f>G1183</f>
        <v>2</v>
      </c>
      <c r="M1192" s="586">
        <v>0.1</v>
      </c>
      <c r="N1192" s="586">
        <f>M1192*L1192*K1192</f>
        <v>0.4</v>
      </c>
      <c r="O1192" s="583"/>
      <c r="P1192" s="286"/>
      <c r="Q1192" s="286"/>
      <c r="R1192" s="395"/>
      <c r="S1192" s="158"/>
      <c r="T1192" s="403"/>
    </row>
    <row r="1193" spans="4:20" ht="15" customHeight="1">
      <c r="D1193" s="582"/>
      <c r="E1193" s="596" t="s">
        <v>887</v>
      </c>
      <c r="F1193" s="586">
        <v>6</v>
      </c>
      <c r="G1193" s="597">
        <f>H1183*0.0144</f>
        <v>2.8799999999999999E-2</v>
      </c>
      <c r="H1193" s="586">
        <f>G1193*F1193</f>
        <v>0.17280000000000001</v>
      </c>
      <c r="I1193" s="593"/>
      <c r="J1193" s="1197" t="s">
        <v>888</v>
      </c>
      <c r="K1193" s="564" t="s">
        <v>889</v>
      </c>
      <c r="L1193" s="564" t="s">
        <v>890</v>
      </c>
      <c r="M1193" s="564" t="s">
        <v>885</v>
      </c>
      <c r="N1193" s="565"/>
      <c r="O1193" s="583"/>
      <c r="P1193" s="286"/>
      <c r="Q1193" s="286"/>
      <c r="R1193" s="395"/>
      <c r="S1193" s="158"/>
      <c r="T1193" s="403"/>
    </row>
    <row r="1194" spans="4:20" ht="15" customHeight="1">
      <c r="D1194" s="582"/>
      <c r="E1194" s="596" t="s">
        <v>891</v>
      </c>
      <c r="F1194" s="586">
        <v>3</v>
      </c>
      <c r="G1194" s="597">
        <f>0.0163*8</f>
        <v>0.13039999999999999</v>
      </c>
      <c r="H1194" s="586">
        <f>G1194*F1194</f>
        <v>0.39119999999999999</v>
      </c>
      <c r="I1194" s="593"/>
      <c r="J1194" s="1197"/>
      <c r="K1194" s="586">
        <v>0.3</v>
      </c>
      <c r="L1194" s="586">
        <v>0.8</v>
      </c>
      <c r="M1194" s="586">
        <f>((3.14*(K1194*K1194)/4)*L1194)</f>
        <v>5.6520000000000008E-2</v>
      </c>
      <c r="N1194" s="565"/>
      <c r="O1194" s="583"/>
      <c r="P1194" s="286"/>
      <c r="Q1194" s="286"/>
      <c r="R1194" s="395"/>
      <c r="S1194" s="158"/>
      <c r="T1194" s="403"/>
    </row>
    <row r="1195" spans="4:20" ht="15" customHeight="1">
      <c r="D1195" s="582"/>
      <c r="E1195" s="596" t="s">
        <v>892</v>
      </c>
      <c r="F1195" s="586">
        <v>1</v>
      </c>
      <c r="G1195" s="597">
        <f>F1184*G1184*0.15</f>
        <v>0.86399999999999999</v>
      </c>
      <c r="H1195" s="586">
        <f>G1195*F1195</f>
        <v>0.86399999999999999</v>
      </c>
      <c r="I1195" s="593"/>
      <c r="J1195" s="587"/>
      <c r="K1195" s="587"/>
      <c r="L1195" s="565"/>
      <c r="M1195" s="565"/>
      <c r="N1195" s="565"/>
      <c r="O1195" s="583"/>
      <c r="P1195" s="286"/>
      <c r="Q1195" s="286"/>
      <c r="R1195" s="395"/>
      <c r="S1195" s="158"/>
      <c r="T1195" s="403"/>
    </row>
    <row r="1196" spans="4:20" ht="15" customHeight="1">
      <c r="D1196" s="582"/>
      <c r="E1196" s="565"/>
      <c r="F1196" s="598"/>
      <c r="G1196" s="598"/>
      <c r="H1196" s="599">
        <f>SUM(H1192:H1195)</f>
        <v>1.8049911184307752</v>
      </c>
      <c r="I1196" s="593"/>
      <c r="J1196" s="587"/>
      <c r="K1196" s="587"/>
      <c r="L1196" s="565"/>
      <c r="M1196" s="565"/>
      <c r="N1196" s="565"/>
      <c r="O1196" s="583"/>
      <c r="P1196" s="286"/>
      <c r="Q1196" s="286"/>
      <c r="R1196" s="395"/>
      <c r="S1196" s="158"/>
      <c r="T1196" s="403"/>
    </row>
    <row r="1197" spans="4:20" ht="15" customHeight="1">
      <c r="D1197" s="582"/>
      <c r="E1197" s="565"/>
      <c r="F1197" s="598"/>
      <c r="G1197" s="598"/>
      <c r="H1197" s="600"/>
      <c r="I1197" s="593"/>
      <c r="J1197" s="587"/>
      <c r="K1197" s="587"/>
      <c r="L1197" s="565"/>
      <c r="M1197" s="565"/>
      <c r="N1197" s="565"/>
      <c r="O1197" s="583"/>
      <c r="P1197" s="286"/>
      <c r="Q1197" s="286"/>
      <c r="R1197" s="395"/>
      <c r="S1197" s="158"/>
      <c r="T1197" s="403"/>
    </row>
    <row r="1198" spans="4:20" ht="15" customHeight="1">
      <c r="D1198" s="582"/>
      <c r="E1198" s="565"/>
      <c r="F1198" s="1198" t="s">
        <v>893</v>
      </c>
      <c r="G1198" s="1199"/>
      <c r="H1198" s="1199"/>
      <c r="I1198" s="1199"/>
      <c r="J1198" s="1199"/>
      <c r="K1198" s="1199"/>
      <c r="L1198" s="1199"/>
      <c r="M1198" s="1200"/>
      <c r="N1198" s="565"/>
      <c r="O1198" s="583"/>
      <c r="P1198" s="286"/>
      <c r="Q1198" s="286"/>
      <c r="R1198" s="395"/>
      <c r="S1198" s="158"/>
      <c r="T1198" s="403"/>
    </row>
    <row r="1199" spans="4:20" ht="15" customHeight="1">
      <c r="D1199" s="582"/>
      <c r="E1199" s="565"/>
      <c r="F1199" s="1201" t="s">
        <v>894</v>
      </c>
      <c r="G1199" s="1195" t="s">
        <v>895</v>
      </c>
      <c r="H1199" s="1195" t="s">
        <v>30</v>
      </c>
      <c r="I1199" s="1195" t="s">
        <v>896</v>
      </c>
      <c r="J1199" s="1195" t="s">
        <v>897</v>
      </c>
      <c r="K1199" s="1195" t="s">
        <v>898</v>
      </c>
      <c r="L1199" s="1195" t="s">
        <v>899</v>
      </c>
      <c r="M1199" s="1195" t="s">
        <v>900</v>
      </c>
      <c r="N1199" s="565"/>
      <c r="O1199" s="583"/>
      <c r="P1199" s="286"/>
      <c r="Q1199" s="286"/>
      <c r="R1199" s="395"/>
      <c r="S1199" s="158"/>
      <c r="T1199" s="403"/>
    </row>
    <row r="1200" spans="4:20" ht="15" customHeight="1">
      <c r="D1200" s="582"/>
      <c r="E1200" s="565"/>
      <c r="F1200" s="1201"/>
      <c r="G1200" s="1196"/>
      <c r="H1200" s="1196"/>
      <c r="I1200" s="1196"/>
      <c r="J1200" s="1196"/>
      <c r="K1200" s="1196"/>
      <c r="L1200" s="1196"/>
      <c r="M1200" s="1196"/>
      <c r="N1200" s="565"/>
      <c r="O1200" s="583"/>
      <c r="P1200" s="286"/>
      <c r="Q1200" s="286"/>
      <c r="R1200" s="395"/>
      <c r="S1200" s="158"/>
      <c r="T1200" s="403"/>
    </row>
    <row r="1201" spans="3:20" ht="15" customHeight="1">
      <c r="D1201" s="582"/>
      <c r="E1201" s="565"/>
      <c r="F1201" s="596" t="s">
        <v>901</v>
      </c>
      <c r="G1201" s="585" t="s">
        <v>902</v>
      </c>
      <c r="H1201" s="586">
        <v>3</v>
      </c>
      <c r="I1201" s="586">
        <f>(F1184+F1184+G1184+G1184)+0.4</f>
        <v>10</v>
      </c>
      <c r="J1201" s="585">
        <f>I1201*H1201</f>
        <v>30</v>
      </c>
      <c r="K1201" s="586">
        <v>1</v>
      </c>
      <c r="L1201" s="586">
        <f>K1201*J1201</f>
        <v>30</v>
      </c>
      <c r="M1201" s="586">
        <f>L1201*1.1</f>
        <v>33</v>
      </c>
      <c r="N1201" s="565"/>
      <c r="O1201" s="583"/>
      <c r="P1201" s="286"/>
      <c r="Q1201" s="286"/>
      <c r="R1201" s="395"/>
      <c r="S1201" s="158"/>
      <c r="T1201" s="403"/>
    </row>
    <row r="1202" spans="3:20" ht="15" customHeight="1">
      <c r="D1202" s="582"/>
      <c r="E1202" s="565"/>
      <c r="F1202" s="596" t="s">
        <v>903</v>
      </c>
      <c r="G1202" s="585" t="s">
        <v>902</v>
      </c>
      <c r="H1202" s="586">
        <v>6</v>
      </c>
      <c r="I1202" s="586">
        <f>2+1.8</f>
        <v>3.8</v>
      </c>
      <c r="J1202" s="585">
        <f>I1202*H1202</f>
        <v>22.799999999999997</v>
      </c>
      <c r="K1202" s="586">
        <v>1</v>
      </c>
      <c r="L1202" s="586">
        <f>K1202*J1202</f>
        <v>22.799999999999997</v>
      </c>
      <c r="M1202" s="586">
        <f>L1202*1.1</f>
        <v>25.08</v>
      </c>
      <c r="N1202" s="565"/>
      <c r="O1202" s="583"/>
      <c r="P1202" s="286"/>
      <c r="Q1202" s="286"/>
      <c r="R1202" s="395"/>
      <c r="S1202" s="158"/>
      <c r="T1202" s="403"/>
    </row>
    <row r="1203" spans="3:20" ht="15" customHeight="1">
      <c r="D1203" s="582"/>
      <c r="E1203" s="565"/>
      <c r="F1203" s="596" t="s">
        <v>904</v>
      </c>
      <c r="G1203" s="585" t="s">
        <v>905</v>
      </c>
      <c r="H1203" s="586">
        <f>26*2</f>
        <v>52</v>
      </c>
      <c r="I1203" s="586">
        <f>((F1184-0.06)+0.18)</f>
        <v>2.52</v>
      </c>
      <c r="J1203" s="585">
        <f>I1203*H1203</f>
        <v>131.04</v>
      </c>
      <c r="K1203" s="586">
        <v>0.63</v>
      </c>
      <c r="L1203" s="586">
        <f>K1203*J1203</f>
        <v>82.555199999999999</v>
      </c>
      <c r="M1203" s="586">
        <f>L1203*1.1</f>
        <v>90.810720000000003</v>
      </c>
      <c r="N1203" s="565"/>
      <c r="O1203" s="583"/>
      <c r="P1203" s="286"/>
      <c r="Q1203" s="286"/>
      <c r="R1203" s="395"/>
      <c r="S1203" s="158"/>
      <c r="T1203" s="403"/>
    </row>
    <row r="1204" spans="3:20" ht="15" customHeight="1">
      <c r="D1204" s="582"/>
      <c r="E1204" s="565"/>
      <c r="F1204" s="596" t="s">
        <v>906</v>
      </c>
      <c r="G1204" s="585" t="s">
        <v>905</v>
      </c>
      <c r="H1204" s="586">
        <f>18*2</f>
        <v>36</v>
      </c>
      <c r="I1204" s="586">
        <f>((G1184-0.06)+0.18)</f>
        <v>2.52</v>
      </c>
      <c r="J1204" s="585">
        <f>I1204*H1204</f>
        <v>90.72</v>
      </c>
      <c r="K1204" s="586">
        <v>0.63</v>
      </c>
      <c r="L1204" s="586">
        <f>K1204*J1204</f>
        <v>57.153599999999997</v>
      </c>
      <c r="M1204" s="586">
        <f>L1204*1.1</f>
        <v>62.868960000000001</v>
      </c>
      <c r="N1204" s="565"/>
      <c r="O1204" s="583"/>
      <c r="P1204" s="286"/>
      <c r="Q1204" s="286"/>
      <c r="R1204" s="395"/>
      <c r="S1204" s="158"/>
      <c r="T1204" s="403"/>
    </row>
    <row r="1205" spans="3:20" ht="24" customHeight="1">
      <c r="D1205" s="582"/>
      <c r="E1205" s="565"/>
      <c r="F1205" s="606" t="s">
        <v>907</v>
      </c>
      <c r="G1205" s="585" t="s">
        <v>905</v>
      </c>
      <c r="H1205" s="586">
        <v>2</v>
      </c>
      <c r="I1205" s="586">
        <v>1.2</v>
      </c>
      <c r="J1205" s="585">
        <f>I1205*H1205</f>
        <v>2.4</v>
      </c>
      <c r="K1205" s="586">
        <v>0.63</v>
      </c>
      <c r="L1205" s="586">
        <f>K1205*J1205</f>
        <v>1.512</v>
      </c>
      <c r="M1205" s="601">
        <f>L1205*1.1</f>
        <v>1.6632000000000002</v>
      </c>
      <c r="N1205" s="565"/>
      <c r="O1205" s="583"/>
      <c r="P1205" s="286"/>
      <c r="Q1205" s="286"/>
      <c r="R1205" s="395"/>
      <c r="S1205" s="158"/>
      <c r="T1205" s="403"/>
    </row>
    <row r="1206" spans="3:20" ht="15" customHeight="1">
      <c r="D1206" s="582"/>
      <c r="E1206" s="565"/>
      <c r="F1206" s="587"/>
      <c r="G1206" s="587"/>
      <c r="H1206" s="587"/>
      <c r="I1206" s="587"/>
      <c r="J1206" s="587"/>
      <c r="K1206" s="587"/>
      <c r="L1206" s="565"/>
      <c r="M1206" s="599">
        <f>SUM(M1201:M1205)</f>
        <v>213.42287999999999</v>
      </c>
      <c r="N1206" s="565"/>
      <c r="O1206" s="583"/>
      <c r="P1206" s="286"/>
      <c r="Q1206" s="286"/>
      <c r="R1206" s="395"/>
      <c r="S1206" s="158"/>
      <c r="T1206" s="403"/>
    </row>
    <row r="1207" spans="3:20" ht="15" customHeight="1">
      <c r="D1207" s="602"/>
      <c r="E1207" s="603"/>
      <c r="F1207" s="603"/>
      <c r="G1207" s="603"/>
      <c r="H1207" s="603"/>
      <c r="I1207" s="603"/>
      <c r="J1207" s="603"/>
      <c r="K1207" s="604"/>
      <c r="L1207" s="604"/>
      <c r="M1207" s="604"/>
      <c r="N1207" s="604"/>
      <c r="O1207" s="605"/>
      <c r="P1207" s="286"/>
      <c r="Q1207" s="286"/>
      <c r="R1207" s="395"/>
      <c r="S1207" s="158"/>
      <c r="T1207" s="403"/>
    </row>
    <row r="1208" spans="3:20" ht="15" customHeight="1">
      <c r="D1208" s="576"/>
      <c r="E1208" s="624"/>
      <c r="F1208" s="624"/>
      <c r="G1208" s="577"/>
      <c r="H1208" s="576"/>
      <c r="I1208" s="573"/>
      <c r="J1208" s="574"/>
      <c r="K1208" s="573"/>
      <c r="L1208" s="573"/>
      <c r="M1208" s="573"/>
      <c r="N1208" s="286"/>
      <c r="O1208" s="286"/>
      <c r="P1208" s="286"/>
      <c r="Q1208" s="286"/>
      <c r="R1208" s="395"/>
      <c r="S1208" s="158"/>
      <c r="T1208" s="403"/>
    </row>
    <row r="1209" spans="3:20" ht="15" customHeight="1">
      <c r="D1209" s="576"/>
      <c r="E1209" s="624"/>
      <c r="F1209" s="624"/>
      <c r="G1209" s="577"/>
      <c r="H1209" s="576"/>
      <c r="I1209" s="573"/>
      <c r="J1209" s="574"/>
      <c r="K1209" s="573"/>
      <c r="L1209" s="573"/>
      <c r="M1209" s="573"/>
      <c r="N1209" s="286"/>
      <c r="O1209" s="286"/>
      <c r="P1209" s="286"/>
      <c r="Q1209" s="286"/>
      <c r="R1209" s="395"/>
      <c r="S1209" s="158"/>
      <c r="T1209" s="403"/>
    </row>
    <row r="1210" spans="3:20" ht="15" customHeight="1">
      <c r="C1210" s="205" t="s">
        <v>1080</v>
      </c>
      <c r="D1210" s="396" t="s">
        <v>1298</v>
      </c>
      <c r="E1210" s="395"/>
      <c r="F1210" s="395"/>
      <c r="G1210" s="395"/>
      <c r="H1210" s="395"/>
      <c r="I1210" s="395"/>
      <c r="J1210" s="395"/>
      <c r="K1210" s="395"/>
      <c r="L1210" s="395"/>
      <c r="M1210" s="395"/>
      <c r="N1210" s="395"/>
      <c r="O1210" s="395"/>
      <c r="P1210" s="395"/>
      <c r="Q1210" s="395"/>
      <c r="R1210" s="158"/>
      <c r="S1210" s="403"/>
      <c r="T1210" s="403"/>
    </row>
    <row r="1211" spans="3:20" ht="15" customHeight="1">
      <c r="C1211" s="205"/>
      <c r="D1211" s="174"/>
      <c r="E1211" s="395"/>
      <c r="F1211" s="395"/>
      <c r="G1211" s="395"/>
      <c r="H1211" s="395"/>
      <c r="I1211" s="395"/>
      <c r="J1211" s="395"/>
      <c r="K1211" s="395"/>
      <c r="L1211" s="395"/>
      <c r="M1211" s="395"/>
      <c r="N1211" s="395"/>
      <c r="O1211" s="395"/>
      <c r="P1211" s="395"/>
      <c r="Q1211" s="395"/>
      <c r="R1211" s="158"/>
      <c r="S1211" s="403"/>
      <c r="T1211" s="403"/>
    </row>
    <row r="1212" spans="3:20" ht="15" customHeight="1">
      <c r="C1212" s="205"/>
      <c r="D1212" s="576" t="s">
        <v>1081</v>
      </c>
      <c r="E1212" s="267" t="s">
        <v>1228</v>
      </c>
      <c r="F1212" s="395"/>
      <c r="G1212" s="395"/>
      <c r="H1212" s="395"/>
      <c r="I1212" s="395"/>
      <c r="J1212" s="395"/>
      <c r="K1212" s="395"/>
      <c r="L1212" s="395"/>
      <c r="M1212" s="395"/>
      <c r="N1212" s="395"/>
      <c r="O1212" s="395"/>
      <c r="P1212" s="395"/>
      <c r="Q1212" s="395"/>
      <c r="R1212" s="157">
        <f>4*K1170</f>
        <v>20</v>
      </c>
      <c r="S1212" s="11" t="s">
        <v>352</v>
      </c>
      <c r="T1212" s="403"/>
    </row>
    <row r="1213" spans="3:20" ht="15" customHeight="1">
      <c r="D1213" s="576" t="s">
        <v>1082</v>
      </c>
      <c r="E1213" s="267" t="s">
        <v>1225</v>
      </c>
      <c r="F1213" s="395"/>
      <c r="G1213" s="395"/>
      <c r="H1213" s="395"/>
      <c r="I1213" s="395"/>
      <c r="J1213" s="395"/>
      <c r="K1213" s="395"/>
      <c r="L1213" s="395"/>
      <c r="M1213" s="395"/>
      <c r="N1213" s="395"/>
      <c r="O1213" s="395"/>
      <c r="P1213" s="395"/>
      <c r="Q1213" s="395"/>
      <c r="R1213" s="157">
        <f>8*K1170*1</f>
        <v>40</v>
      </c>
      <c r="S1213" s="11" t="s">
        <v>352</v>
      </c>
      <c r="T1213" s="403"/>
    </row>
    <row r="1214" spans="3:20" ht="15" customHeight="1">
      <c r="D1214" s="576" t="s">
        <v>1083</v>
      </c>
      <c r="E1214" s="267" t="s">
        <v>1226</v>
      </c>
      <c r="F1214" s="395"/>
      <c r="G1214" s="395"/>
      <c r="H1214" s="395"/>
      <c r="I1214" s="395"/>
      <c r="J1214" s="395"/>
      <c r="K1214" s="395"/>
      <c r="L1214" s="395"/>
      <c r="M1214" s="395"/>
      <c r="N1214" s="395"/>
      <c r="O1214" s="395"/>
      <c r="P1214" s="395"/>
      <c r="Q1214" s="395"/>
      <c r="R1214" s="157">
        <f>8*K1170*1</f>
        <v>40</v>
      </c>
      <c r="S1214" s="11" t="s">
        <v>352</v>
      </c>
      <c r="T1214" s="403"/>
    </row>
    <row r="1215" spans="3:20" ht="15" customHeight="1">
      <c r="D1215" s="576" t="s">
        <v>1084</v>
      </c>
      <c r="E1215" s="267" t="s">
        <v>1227</v>
      </c>
      <c r="F1215" s="395"/>
      <c r="G1215" s="395"/>
      <c r="H1215" s="395"/>
      <c r="I1215" s="395"/>
      <c r="J1215" s="395"/>
      <c r="K1215" s="395"/>
      <c r="L1215" s="395"/>
      <c r="M1215" s="395"/>
      <c r="N1215" s="395"/>
      <c r="O1215" s="395"/>
      <c r="P1215" s="395"/>
      <c r="Q1215" s="395"/>
      <c r="R1215" s="157">
        <f>8*1*1</f>
        <v>8</v>
      </c>
      <c r="S1215" s="11" t="s">
        <v>352</v>
      </c>
      <c r="T1215" s="403"/>
    </row>
    <row r="1216" spans="3:20" ht="15" customHeight="1">
      <c r="D1216" s="576" t="s">
        <v>1085</v>
      </c>
      <c r="E1216" s="267" t="s">
        <v>1224</v>
      </c>
      <c r="F1216" s="267"/>
      <c r="G1216" s="267"/>
      <c r="H1216" s="267"/>
      <c r="I1216" s="267"/>
      <c r="J1216" s="267"/>
      <c r="K1216" s="276"/>
      <c r="L1216" s="276"/>
      <c r="M1216" s="267"/>
      <c r="N1216" s="267"/>
      <c r="O1216" s="395"/>
      <c r="P1216" s="395"/>
      <c r="Q1216" s="395"/>
      <c r="R1216" s="317"/>
      <c r="S1216" s="317"/>
      <c r="T1216" s="403"/>
    </row>
    <row r="1217" spans="3:22" ht="15" customHeight="1">
      <c r="E1217" s="267" t="s">
        <v>1229</v>
      </c>
      <c r="F1217" s="267"/>
      <c r="G1217" s="267"/>
      <c r="H1217" s="267"/>
      <c r="I1217" s="267"/>
      <c r="J1217" s="267"/>
      <c r="K1217" s="267"/>
      <c r="L1217" s="267"/>
      <c r="M1217" s="267"/>
      <c r="N1217" s="267"/>
      <c r="O1217" s="267"/>
      <c r="P1217" s="267"/>
      <c r="Q1217" s="280"/>
      <c r="R1217" s="157">
        <f>K1172*4</f>
        <v>4</v>
      </c>
      <c r="S1217" s="11" t="s">
        <v>179</v>
      </c>
      <c r="T1217" s="403"/>
    </row>
    <row r="1218" spans="3:22" ht="15" customHeight="1">
      <c r="D1218" s="576"/>
      <c r="E1218" s="624"/>
      <c r="F1218" s="624"/>
      <c r="G1218" s="577"/>
      <c r="H1218" s="576"/>
      <c r="I1218" s="573"/>
      <c r="J1218" s="574"/>
      <c r="K1218" s="573"/>
      <c r="L1218" s="573"/>
      <c r="M1218" s="573"/>
      <c r="N1218" s="286"/>
      <c r="O1218" s="286"/>
      <c r="P1218" s="286"/>
      <c r="Q1218" s="286"/>
      <c r="R1218" s="395"/>
      <c r="S1218" s="158"/>
      <c r="T1218" s="403"/>
    </row>
    <row r="1219" spans="3:22" ht="15" customHeight="1">
      <c r="D1219" s="576"/>
      <c r="E1219" s="624"/>
      <c r="F1219" s="624"/>
      <c r="G1219" s="577"/>
      <c r="H1219" s="576"/>
      <c r="I1219" s="573"/>
      <c r="J1219" s="574"/>
      <c r="K1219" s="573"/>
      <c r="L1219" s="573"/>
      <c r="M1219" s="573"/>
      <c r="N1219" s="286"/>
      <c r="O1219" s="286"/>
      <c r="P1219" s="286"/>
      <c r="Q1219" s="286"/>
      <c r="R1219" s="395"/>
      <c r="S1219" s="158"/>
      <c r="T1219" s="403"/>
    </row>
    <row r="1220" spans="3:22" ht="15" customHeight="1">
      <c r="C1220" s="651">
        <v>11</v>
      </c>
      <c r="D1220" s="655" t="s">
        <v>1343</v>
      </c>
      <c r="Q1220" s="395"/>
      <c r="R1220" s="158"/>
    </row>
    <row r="1221" spans="3:22" ht="15" customHeight="1">
      <c r="C1221" s="141"/>
      <c r="D1221" s="397"/>
      <c r="Q1221" s="395"/>
      <c r="R1221" s="158"/>
    </row>
    <row r="1222" spans="3:22">
      <c r="C1222" s="1011" t="s">
        <v>131</v>
      </c>
      <c r="D1222" s="1012"/>
      <c r="E1222" s="1012"/>
      <c r="F1222" s="1012"/>
      <c r="G1222" s="1012"/>
      <c r="H1222" s="1012"/>
      <c r="I1222" s="1012"/>
      <c r="J1222" s="1012"/>
      <c r="K1222" s="1012"/>
      <c r="L1222" s="1012"/>
      <c r="M1222" s="1012"/>
      <c r="N1222" s="1012"/>
      <c r="O1222" s="1012"/>
      <c r="P1222" s="1012"/>
      <c r="Q1222" s="1012"/>
      <c r="R1222" s="1012"/>
      <c r="S1222" s="1012"/>
      <c r="T1222" s="1012"/>
      <c r="U1222" s="1012"/>
      <c r="V1222" s="1013"/>
    </row>
    <row r="1223" spans="3:22">
      <c r="C1223" s="1047" t="s">
        <v>260</v>
      </c>
      <c r="D1223" s="1048"/>
      <c r="E1223" s="1048"/>
      <c r="F1223" s="1048"/>
      <c r="G1223" s="1048"/>
      <c r="H1223" s="1048"/>
      <c r="I1223" s="1048"/>
      <c r="J1223" s="1048"/>
      <c r="K1223" s="1048"/>
      <c r="L1223" s="1048"/>
      <c r="M1223" s="1048"/>
      <c r="N1223" s="1048"/>
      <c r="O1223" s="1048"/>
      <c r="P1223" s="1048"/>
      <c r="Q1223" s="1048"/>
      <c r="R1223" s="1048"/>
      <c r="S1223" s="1048"/>
      <c r="T1223" s="1048"/>
      <c r="U1223" s="1048"/>
      <c r="V1223" s="1049"/>
    </row>
    <row r="1224" spans="3:22">
      <c r="C1224" s="1050"/>
      <c r="D1224" s="1051"/>
      <c r="E1224" s="1051"/>
      <c r="F1224" s="1051"/>
      <c r="G1224" s="1051"/>
      <c r="H1224" s="1051"/>
      <c r="I1224" s="1051"/>
      <c r="J1224" s="1051"/>
      <c r="K1224" s="1051"/>
      <c r="L1224" s="1051"/>
      <c r="M1224" s="1051"/>
      <c r="N1224" s="1051"/>
      <c r="O1224" s="1051"/>
      <c r="P1224" s="1051"/>
      <c r="Q1224" s="1051"/>
      <c r="R1224" s="1051"/>
      <c r="S1224" s="1051"/>
      <c r="T1224" s="1051"/>
      <c r="U1224" s="1051"/>
      <c r="V1224" s="1052"/>
    </row>
    <row r="1225" spans="3:22">
      <c r="C1225" s="1053" t="s">
        <v>27</v>
      </c>
      <c r="D1225" s="1054"/>
      <c r="E1225" s="1054"/>
      <c r="F1225" s="1054"/>
      <c r="G1225" s="1054"/>
      <c r="H1225" s="1055"/>
      <c r="I1225" s="1053" t="s">
        <v>30</v>
      </c>
      <c r="J1225" s="1055"/>
      <c r="K1225" s="1053" t="s">
        <v>20</v>
      </c>
      <c r="L1225" s="1055"/>
      <c r="M1225" s="1053" t="s">
        <v>152</v>
      </c>
      <c r="N1225" s="1055"/>
      <c r="O1225" s="1053" t="s">
        <v>47</v>
      </c>
      <c r="P1225" s="1055"/>
      <c r="Q1225" s="1053" t="s">
        <v>48</v>
      </c>
      <c r="R1225" s="1055"/>
      <c r="S1225" s="1053" t="s">
        <v>33</v>
      </c>
      <c r="T1225" s="1055"/>
      <c r="U1225" s="1053" t="s">
        <v>46</v>
      </c>
      <c r="V1225" s="1055"/>
    </row>
    <row r="1226" spans="3:22">
      <c r="C1226" s="1204"/>
      <c r="D1226" s="1205"/>
      <c r="E1226" s="1205"/>
      <c r="F1226" s="1205"/>
      <c r="G1226" s="1205"/>
      <c r="H1226" s="1206"/>
      <c r="I1226" s="1056"/>
      <c r="J1226" s="1058"/>
      <c r="K1226" s="1056"/>
      <c r="L1226" s="1058"/>
      <c r="M1226" s="1056"/>
      <c r="N1226" s="1058"/>
      <c r="O1226" s="1056"/>
      <c r="P1226" s="1058"/>
      <c r="Q1226" s="1056"/>
      <c r="R1226" s="1058"/>
      <c r="S1226" s="1056"/>
      <c r="T1226" s="1058"/>
      <c r="U1226" s="1056"/>
      <c r="V1226" s="1058"/>
    </row>
    <row r="1227" spans="3:22">
      <c r="C1227" s="1043" t="s">
        <v>238</v>
      </c>
      <c r="D1227" s="1044"/>
      <c r="E1227" s="1044"/>
      <c r="F1227" s="1044"/>
      <c r="G1227" s="1044"/>
      <c r="H1227" s="1045"/>
      <c r="I1227" s="1035">
        <v>2</v>
      </c>
      <c r="J1227" s="1036"/>
      <c r="K1227" s="1039">
        <v>2</v>
      </c>
      <c r="L1227" s="1030" t="s">
        <v>0</v>
      </c>
      <c r="M1227" s="1039">
        <v>2</v>
      </c>
      <c r="N1227" s="1030" t="s">
        <v>0</v>
      </c>
      <c r="O1227" s="1041">
        <v>1.5</v>
      </c>
      <c r="P1227" s="1030" t="s">
        <v>0</v>
      </c>
      <c r="Q1227" s="1039">
        <f>I1227*K1227*M1227</f>
        <v>8</v>
      </c>
      <c r="R1227" s="1026" t="s">
        <v>17</v>
      </c>
      <c r="S1227" s="1028">
        <f>(I1227*K1227*M1227*O1227)*1.2</f>
        <v>14.399999999999999</v>
      </c>
      <c r="T1227" s="1030" t="s">
        <v>18</v>
      </c>
      <c r="U1227" s="1031" t="s">
        <v>28</v>
      </c>
      <c r="V1227" s="1032"/>
    </row>
    <row r="1228" spans="3:22">
      <c r="C1228" s="1033"/>
      <c r="D1228" s="1046"/>
      <c r="E1228" s="1046"/>
      <c r="F1228" s="1046"/>
      <c r="G1228" s="1046"/>
      <c r="H1228" s="1034"/>
      <c r="I1228" s="1037"/>
      <c r="J1228" s="1038"/>
      <c r="K1228" s="1040"/>
      <c r="L1228" s="1002"/>
      <c r="M1228" s="1040"/>
      <c r="N1228" s="1002"/>
      <c r="O1228" s="1042"/>
      <c r="P1228" s="1002"/>
      <c r="Q1228" s="1040"/>
      <c r="R1228" s="1027"/>
      <c r="S1228" s="1029"/>
      <c r="T1228" s="1002"/>
      <c r="U1228" s="1033"/>
      <c r="V1228" s="1034"/>
    </row>
    <row r="1229" spans="3:22">
      <c r="C1229" s="994"/>
      <c r="D1229" s="994"/>
      <c r="E1229" s="994"/>
      <c r="F1229" s="994"/>
      <c r="G1229" s="994"/>
      <c r="H1229" s="994"/>
      <c r="I1229" s="994"/>
      <c r="J1229" s="994"/>
      <c r="K1229" s="994"/>
      <c r="L1229" s="994"/>
      <c r="M1229" s="994"/>
      <c r="N1229" s="994"/>
      <c r="O1229" s="994"/>
      <c r="P1229" s="994"/>
      <c r="Q1229" s="994"/>
      <c r="R1229" s="994"/>
      <c r="S1229" s="994"/>
      <c r="T1229" s="994"/>
      <c r="U1229" s="994"/>
      <c r="V1229" s="994"/>
    </row>
    <row r="1231" spans="3:22">
      <c r="C1231" s="117" t="s">
        <v>314</v>
      </c>
      <c r="D1231" s="476" t="s">
        <v>258</v>
      </c>
      <c r="E1231" s="477"/>
      <c r="F1231" s="478"/>
      <c r="G1231" s="478"/>
      <c r="H1231" s="478"/>
      <c r="I1231" s="478"/>
      <c r="J1231" s="478"/>
      <c r="K1231" s="478"/>
      <c r="L1231" s="478"/>
      <c r="M1231" s="478"/>
      <c r="N1231" s="478"/>
      <c r="O1231" s="479"/>
      <c r="P1231" s="9"/>
      <c r="Q1231" s="10"/>
      <c r="R1231" s="11"/>
      <c r="S1231" s="11"/>
    </row>
    <row r="1232" spans="3:22">
      <c r="D1232" s="174"/>
      <c r="E1232" s="174"/>
      <c r="F1232" s="475"/>
      <c r="G1232" s="475"/>
      <c r="H1232" s="475"/>
      <c r="I1232" s="475"/>
      <c r="J1232" s="475"/>
      <c r="K1232" s="475"/>
      <c r="L1232" s="475"/>
      <c r="M1232" s="475"/>
      <c r="N1232" s="475"/>
      <c r="O1232" s="475"/>
      <c r="P1232" s="443"/>
      <c r="Q1232" s="443"/>
      <c r="R1232" s="403"/>
      <c r="S1232" s="403"/>
    </row>
    <row r="1233" spans="4:19">
      <c r="D1233" s="31" t="s">
        <v>614</v>
      </c>
      <c r="E1233" s="173" t="s">
        <v>37</v>
      </c>
      <c r="F1233" s="443"/>
      <c r="G1233" s="443"/>
      <c r="H1233" s="443"/>
      <c r="I1233" s="443"/>
      <c r="J1233" s="443"/>
      <c r="K1233" s="443"/>
      <c r="L1233" s="443"/>
      <c r="M1233" s="443"/>
      <c r="N1233" s="443"/>
      <c r="O1233" s="443"/>
      <c r="P1233" s="443"/>
      <c r="Q1233" s="443"/>
      <c r="R1233" s="158"/>
    </row>
    <row r="1234" spans="4:19">
      <c r="D1234" s="162"/>
      <c r="E1234" s="163"/>
      <c r="F1234" s="86"/>
      <c r="G1234" s="86"/>
      <c r="H1234" s="86"/>
      <c r="I1234" s="86"/>
      <c r="J1234" s="86"/>
      <c r="K1234" s="86"/>
      <c r="L1234" s="86"/>
      <c r="M1234" s="86"/>
      <c r="N1234" s="86"/>
      <c r="O1234" s="86"/>
      <c r="P1234" s="86"/>
      <c r="Q1234" s="86"/>
      <c r="R1234" s="158"/>
    </row>
    <row r="1235" spans="4:19">
      <c r="F1235" s="982" t="s">
        <v>1344</v>
      </c>
      <c r="G1235" s="983"/>
      <c r="H1235" s="983"/>
      <c r="I1235" s="983"/>
      <c r="J1235" s="983"/>
      <c r="K1235" s="995"/>
      <c r="L1235" s="997" t="s">
        <v>192</v>
      </c>
      <c r="M1235" s="999">
        <v>12</v>
      </c>
      <c r="N1235" s="1001" t="s">
        <v>193</v>
      </c>
    </row>
    <row r="1236" spans="4:19">
      <c r="F1236" s="984"/>
      <c r="G1236" s="985"/>
      <c r="H1236" s="985"/>
      <c r="I1236" s="985"/>
      <c r="J1236" s="985"/>
      <c r="K1236" s="996"/>
      <c r="L1236" s="998"/>
      <c r="M1236" s="1000"/>
      <c r="N1236" s="1002"/>
    </row>
    <row r="1238" spans="4:19">
      <c r="F1238" s="1021" t="s">
        <v>194</v>
      </c>
      <c r="G1238" s="1022"/>
      <c r="H1238" s="1022"/>
      <c r="I1238" s="1022"/>
      <c r="J1238" s="1023"/>
      <c r="K1238" s="982" t="s">
        <v>259</v>
      </c>
      <c r="L1238" s="983"/>
      <c r="M1238" s="983"/>
      <c r="N1238" s="983"/>
      <c r="O1238" s="983"/>
      <c r="P1238" s="983"/>
      <c r="Q1238" s="995"/>
      <c r="R1238" s="136"/>
      <c r="S1238" s="11"/>
    </row>
    <row r="1239" spans="4:19">
      <c r="F1239" s="10"/>
      <c r="G1239" s="10"/>
      <c r="H1239" s="10"/>
      <c r="I1239" s="10"/>
      <c r="J1239" s="10"/>
      <c r="K1239" s="10"/>
      <c r="L1239" s="10"/>
      <c r="M1239" s="10"/>
      <c r="N1239" s="10"/>
      <c r="O1239" s="10"/>
      <c r="P1239" s="10"/>
      <c r="Q1239" s="10"/>
      <c r="R1239" s="11"/>
      <c r="S1239" s="11"/>
    </row>
    <row r="1240" spans="4:19" ht="12.75" customHeight="1">
      <c r="F1240" s="10"/>
      <c r="G1240" s="10"/>
      <c r="H1240" s="10"/>
      <c r="I1240" s="10"/>
      <c r="J1240" s="10"/>
      <c r="K1240" s="982" t="s">
        <v>1183</v>
      </c>
      <c r="L1240" s="983"/>
      <c r="M1240" s="983"/>
      <c r="N1240" s="983"/>
      <c r="O1240" s="983"/>
      <c r="P1240" s="983"/>
      <c r="Q1240" s="983"/>
      <c r="R1240" s="11"/>
      <c r="S1240" s="11"/>
    </row>
    <row r="1241" spans="4:19">
      <c r="F1241" s="10"/>
      <c r="G1241" s="10"/>
      <c r="H1241" s="10"/>
      <c r="I1241" s="10"/>
      <c r="J1241" s="10"/>
      <c r="K1241" s="984"/>
      <c r="L1241" s="985"/>
      <c r="M1241" s="985"/>
      <c r="N1241" s="985"/>
      <c r="O1241" s="985"/>
      <c r="P1241" s="985"/>
      <c r="Q1241" s="985"/>
      <c r="R1241" s="157">
        <f>(I1227*(2*(K1227*2+M1227*2)/M1235))</f>
        <v>2.6666666666666665</v>
      </c>
      <c r="S1241" s="156" t="s">
        <v>0</v>
      </c>
    </row>
    <row r="1243" spans="4:19">
      <c r="D1243" s="31" t="s">
        <v>615</v>
      </c>
      <c r="E1243" s="173" t="s">
        <v>36</v>
      </c>
    </row>
    <row r="1245" spans="4:19">
      <c r="F1245" s="982" t="s">
        <v>1344</v>
      </c>
      <c r="G1245" s="983"/>
      <c r="H1245" s="983"/>
      <c r="I1245" s="983"/>
      <c r="J1245" s="983"/>
      <c r="K1245" s="995"/>
      <c r="L1245" s="997" t="s">
        <v>192</v>
      </c>
      <c r="M1245" s="999">
        <v>12</v>
      </c>
      <c r="N1245" s="1001" t="s">
        <v>193</v>
      </c>
      <c r="O1245" s="1024"/>
      <c r="P1245" s="8"/>
      <c r="Q1245" s="8"/>
      <c r="R1245" s="11"/>
      <c r="S1245" s="11"/>
    </row>
    <row r="1246" spans="4:19">
      <c r="F1246" s="984"/>
      <c r="G1246" s="985"/>
      <c r="H1246" s="985"/>
      <c r="I1246" s="985"/>
      <c r="J1246" s="985"/>
      <c r="K1246" s="996"/>
      <c r="L1246" s="998"/>
      <c r="M1246" s="1000"/>
      <c r="N1246" s="1002"/>
      <c r="O1246" s="1025"/>
      <c r="P1246" s="8"/>
      <c r="Q1246" s="8"/>
      <c r="R1246" s="11"/>
      <c r="S1246" s="11"/>
    </row>
    <row r="1247" spans="4:19">
      <c r="F1247" s="7"/>
      <c r="G1247" s="7"/>
      <c r="H1247" s="7"/>
      <c r="I1247" s="7"/>
      <c r="J1247" s="7"/>
      <c r="K1247" s="7"/>
      <c r="L1247" s="10"/>
      <c r="M1247" s="7"/>
      <c r="N1247" s="7"/>
      <c r="O1247" s="7"/>
      <c r="P1247" s="7"/>
      <c r="Q1247" s="7"/>
      <c r="R1247" s="11"/>
      <c r="S1247" s="11"/>
    </row>
    <row r="1248" spans="4:19">
      <c r="F1248" s="974" t="s">
        <v>194</v>
      </c>
      <c r="G1248" s="975"/>
      <c r="H1248" s="975"/>
      <c r="I1248" s="975"/>
      <c r="J1248" s="976"/>
      <c r="K1248" s="982" t="s">
        <v>259</v>
      </c>
      <c r="L1248" s="983"/>
      <c r="M1248" s="983"/>
      <c r="N1248" s="983"/>
      <c r="O1248" s="983"/>
      <c r="P1248" s="983"/>
      <c r="Q1248" s="995"/>
      <c r="R1248" s="136"/>
      <c r="S1248" s="11"/>
    </row>
    <row r="1249" spans="3:22">
      <c r="F1249" s="10"/>
      <c r="G1249" s="10"/>
      <c r="H1249" s="10"/>
      <c r="I1249" s="10"/>
      <c r="J1249" s="10"/>
      <c r="K1249" s="10"/>
      <c r="L1249" s="10"/>
      <c r="M1249" s="10"/>
      <c r="N1249" s="10"/>
      <c r="O1249" s="10"/>
      <c r="P1249" s="10"/>
      <c r="Q1249" s="10"/>
      <c r="R1249" s="11"/>
      <c r="S1249" s="11"/>
    </row>
    <row r="1250" spans="3:22" ht="12.75" customHeight="1">
      <c r="F1250" s="10"/>
      <c r="G1250" s="10"/>
      <c r="H1250" s="10"/>
      <c r="I1250" s="10"/>
      <c r="J1250" s="10"/>
      <c r="K1250" s="982" t="s">
        <v>1183</v>
      </c>
      <c r="L1250" s="983"/>
      <c r="M1250" s="983"/>
      <c r="N1250" s="983"/>
      <c r="O1250" s="983"/>
      <c r="P1250" s="983"/>
      <c r="Q1250" s="983"/>
      <c r="R1250" s="11"/>
      <c r="S1250" s="11"/>
    </row>
    <row r="1251" spans="3:22">
      <c r="F1251" s="10"/>
      <c r="G1251" s="10"/>
      <c r="H1251" s="10"/>
      <c r="I1251" s="10"/>
      <c r="J1251" s="10"/>
      <c r="K1251" s="984"/>
      <c r="L1251" s="985"/>
      <c r="M1251" s="985"/>
      <c r="N1251" s="985"/>
      <c r="O1251" s="985"/>
      <c r="P1251" s="985"/>
      <c r="Q1251" s="985"/>
      <c r="R1251" s="157">
        <f>(I1227*(2*(K1227*2+M1227*2)/M1245))</f>
        <v>2.6666666666666665</v>
      </c>
      <c r="S1251" s="156" t="s">
        <v>0</v>
      </c>
    </row>
    <row r="1254" spans="3:22">
      <c r="C1254" s="117" t="s">
        <v>616</v>
      </c>
      <c r="D1254" s="176" t="s">
        <v>427</v>
      </c>
      <c r="E1254" s="177"/>
      <c r="F1254" s="177"/>
      <c r="G1254" s="177"/>
      <c r="H1254" s="177"/>
      <c r="I1254" s="177"/>
      <c r="J1254" s="177"/>
      <c r="K1254" s="177"/>
      <c r="L1254" s="177"/>
      <c r="M1254" s="177"/>
      <c r="N1254" s="177"/>
      <c r="O1254" s="177"/>
      <c r="P1254" s="177"/>
      <c r="Q1254" s="177"/>
      <c r="R1254" s="205"/>
      <c r="S1254" s="205"/>
      <c r="T1254" s="177"/>
      <c r="U1254" s="177"/>
      <c r="V1254" s="178"/>
    </row>
    <row r="1255" spans="3:22">
      <c r="D1255" s="174"/>
      <c r="E1255" s="174"/>
      <c r="F1255" s="174"/>
      <c r="G1255" s="174"/>
      <c r="H1255" s="174"/>
      <c r="I1255" s="174"/>
      <c r="J1255" s="174"/>
      <c r="K1255" s="174"/>
      <c r="L1255" s="174"/>
      <c r="M1255" s="174"/>
      <c r="N1255" s="174"/>
      <c r="O1255" s="174"/>
      <c r="P1255" s="174"/>
      <c r="Q1255" s="174"/>
      <c r="R1255" s="205"/>
      <c r="S1255" s="205"/>
      <c r="T1255" s="174"/>
      <c r="U1255" s="174"/>
      <c r="V1255" s="174"/>
    </row>
    <row r="1256" spans="3:22">
      <c r="D1256" s="31" t="s">
        <v>617</v>
      </c>
      <c r="E1256" s="173" t="s">
        <v>21</v>
      </c>
      <c r="F1256" s="86"/>
      <c r="G1256" s="86"/>
      <c r="H1256" s="86"/>
      <c r="I1256" s="86"/>
      <c r="J1256" s="86"/>
      <c r="K1256" s="86"/>
      <c r="L1256" s="86"/>
      <c r="M1256" s="86"/>
      <c r="N1256" s="86"/>
      <c r="O1256" s="86"/>
      <c r="P1256" s="86"/>
      <c r="Q1256" s="86"/>
      <c r="R1256" s="158"/>
      <c r="S1256" s="403"/>
    </row>
    <row r="1257" spans="3:22">
      <c r="D1257" s="31"/>
      <c r="E1257" s="86"/>
      <c r="F1257" s="86"/>
      <c r="G1257" s="86"/>
      <c r="H1257" s="86"/>
      <c r="I1257" s="86"/>
      <c r="J1257" s="86"/>
      <c r="K1257" s="86"/>
      <c r="L1257" s="86"/>
      <c r="M1257" s="86"/>
      <c r="N1257" s="86"/>
      <c r="O1257" s="86"/>
      <c r="P1257" s="86"/>
      <c r="Q1257" s="86"/>
      <c r="R1257" s="158"/>
      <c r="S1257" s="403"/>
    </row>
    <row r="1258" spans="3:22">
      <c r="D1258" s="31"/>
      <c r="E1258" s="974" t="s">
        <v>31</v>
      </c>
      <c r="F1258" s="975"/>
      <c r="G1258" s="975"/>
      <c r="H1258" s="975"/>
      <c r="I1258" s="975"/>
      <c r="J1258" s="975"/>
      <c r="K1258" s="975"/>
      <c r="L1258" s="975"/>
      <c r="M1258" s="975"/>
      <c r="N1258" s="975"/>
      <c r="O1258" s="975"/>
      <c r="P1258" s="975"/>
      <c r="Q1258" s="976"/>
      <c r="R1258" s="160"/>
      <c r="S1258" s="197"/>
    </row>
    <row r="1259" spans="3:22">
      <c r="D1259" s="31"/>
      <c r="E1259" s="974" t="s">
        <v>138</v>
      </c>
      <c r="F1259" s="975"/>
      <c r="G1259" s="975"/>
      <c r="H1259" s="975"/>
      <c r="I1259" s="975"/>
      <c r="J1259" s="975"/>
      <c r="K1259" s="975"/>
      <c r="L1259" s="975"/>
      <c r="M1259" s="975"/>
      <c r="N1259" s="975"/>
      <c r="O1259" s="975"/>
      <c r="P1259" s="975"/>
      <c r="Q1259" s="978"/>
      <c r="R1259" s="157">
        <f>ROUND(I1227*(2*K1227+2*M1227),2)</f>
        <v>16</v>
      </c>
      <c r="S1259" s="156" t="s">
        <v>0</v>
      </c>
    </row>
    <row r="1260" spans="3:22">
      <c r="D1260" s="31"/>
      <c r="E1260" s="123"/>
      <c r="F1260" s="123"/>
      <c r="G1260" s="123"/>
      <c r="H1260" s="123"/>
      <c r="I1260" s="123"/>
      <c r="J1260" s="123"/>
      <c r="K1260" s="123"/>
      <c r="L1260" s="123"/>
      <c r="M1260" s="123"/>
      <c r="N1260" s="123"/>
      <c r="O1260" s="123"/>
      <c r="P1260" s="123"/>
      <c r="Q1260" s="123"/>
      <c r="R1260" s="158"/>
      <c r="S1260" s="403"/>
    </row>
    <row r="1261" spans="3:22">
      <c r="D1261" s="31"/>
      <c r="E1261" s="86"/>
      <c r="F1261" s="86"/>
      <c r="G1261" s="86"/>
      <c r="H1261" s="86"/>
      <c r="I1261" s="86"/>
      <c r="J1261" s="86"/>
      <c r="K1261" s="86"/>
      <c r="L1261" s="86"/>
      <c r="M1261" s="86"/>
      <c r="N1261" s="86"/>
      <c r="O1261" s="86"/>
      <c r="P1261" s="86"/>
      <c r="Q1261" s="86"/>
      <c r="R1261" s="158"/>
      <c r="S1261" s="403"/>
    </row>
    <row r="1262" spans="3:22">
      <c r="D1262" s="31" t="s">
        <v>618</v>
      </c>
      <c r="E1262" s="173" t="s">
        <v>22</v>
      </c>
      <c r="F1262" s="181"/>
      <c r="G1262" s="181"/>
      <c r="H1262" s="181"/>
      <c r="I1262" s="181"/>
      <c r="J1262" s="181"/>
      <c r="K1262" s="181"/>
      <c r="L1262" s="181"/>
      <c r="M1262" s="181"/>
      <c r="N1262" s="181"/>
      <c r="O1262" s="181"/>
      <c r="P1262" s="181"/>
      <c r="Q1262" s="181"/>
      <c r="R1262" s="158"/>
      <c r="S1262" s="403"/>
    </row>
    <row r="1263" spans="3:22">
      <c r="D1263" s="31"/>
      <c r="E1263" s="86"/>
      <c r="F1263" s="86"/>
      <c r="G1263" s="86"/>
      <c r="H1263" s="86"/>
      <c r="I1263" s="86"/>
      <c r="J1263" s="86"/>
      <c r="K1263" s="86"/>
      <c r="L1263" s="86"/>
      <c r="M1263" s="86"/>
      <c r="N1263" s="86"/>
      <c r="O1263" s="86"/>
      <c r="P1263" s="86"/>
      <c r="Q1263" s="86"/>
      <c r="R1263" s="158"/>
      <c r="S1263" s="403"/>
    </row>
    <row r="1264" spans="3:22">
      <c r="D1264" s="31"/>
      <c r="E1264" s="974" t="s">
        <v>32</v>
      </c>
      <c r="F1264" s="975"/>
      <c r="G1264" s="975"/>
      <c r="H1264" s="975"/>
      <c r="I1264" s="975"/>
      <c r="J1264" s="975"/>
      <c r="K1264" s="975"/>
      <c r="L1264" s="975"/>
      <c r="M1264" s="975"/>
      <c r="N1264" s="975"/>
      <c r="O1264" s="975"/>
      <c r="P1264" s="975"/>
      <c r="Q1264" s="976"/>
      <c r="R1264" s="161"/>
      <c r="S1264" s="11"/>
    </row>
    <row r="1265" spans="4:20">
      <c r="D1265" s="31"/>
      <c r="E1265" s="974" t="s">
        <v>139</v>
      </c>
      <c r="F1265" s="975"/>
      <c r="G1265" s="975"/>
      <c r="H1265" s="975"/>
      <c r="I1265" s="975"/>
      <c r="J1265" s="975"/>
      <c r="K1265" s="975"/>
      <c r="L1265" s="975"/>
      <c r="M1265" s="975"/>
      <c r="N1265" s="975"/>
      <c r="O1265" s="975"/>
      <c r="P1265" s="975"/>
      <c r="Q1265" s="978"/>
      <c r="R1265" s="157">
        <f>Q1227</f>
        <v>8</v>
      </c>
      <c r="S1265" s="156" t="s">
        <v>17</v>
      </c>
    </row>
    <row r="1266" spans="4:20">
      <c r="D1266" s="31"/>
      <c r="E1266" s="123"/>
      <c r="F1266" s="123"/>
      <c r="G1266" s="123"/>
      <c r="H1266" s="123"/>
      <c r="I1266" s="123"/>
      <c r="J1266" s="123"/>
      <c r="K1266" s="123"/>
      <c r="L1266" s="123"/>
      <c r="M1266" s="123"/>
      <c r="N1266" s="123"/>
      <c r="O1266" s="123"/>
      <c r="P1266" s="123"/>
      <c r="Q1266" s="123"/>
      <c r="R1266" s="158"/>
      <c r="S1266" s="403"/>
    </row>
    <row r="1267" spans="4:20">
      <c r="D1267" s="31"/>
      <c r="E1267" s="86"/>
      <c r="F1267" s="86"/>
      <c r="G1267" s="86"/>
      <c r="H1267" s="86"/>
      <c r="I1267" s="86"/>
      <c r="J1267" s="86"/>
      <c r="K1267" s="86"/>
      <c r="L1267" s="86"/>
      <c r="M1267" s="86"/>
      <c r="N1267" s="86"/>
      <c r="O1267" s="86"/>
      <c r="P1267" s="86"/>
      <c r="Q1267" s="86"/>
      <c r="R1267" s="158"/>
      <c r="S1267" s="403"/>
    </row>
    <row r="1268" spans="4:20">
      <c r="D1268" s="31" t="s">
        <v>720</v>
      </c>
      <c r="E1268" s="173" t="s">
        <v>23</v>
      </c>
      <c r="F1268" s="86"/>
      <c r="G1268" s="86"/>
      <c r="H1268" s="86"/>
      <c r="I1268" s="86"/>
      <c r="J1268" s="86"/>
      <c r="K1268" s="86"/>
      <c r="L1268" s="86"/>
      <c r="M1268" s="86"/>
      <c r="N1268" s="86"/>
      <c r="O1268" s="86"/>
      <c r="P1268" s="86"/>
      <c r="Q1268" s="86"/>
      <c r="R1268" s="158"/>
      <c r="S1268" s="403"/>
    </row>
    <row r="1269" spans="4:20">
      <c r="D1269" s="31"/>
      <c r="E1269" s="86"/>
      <c r="F1269" s="86"/>
      <c r="G1269" s="86"/>
      <c r="H1269" s="86"/>
      <c r="I1269" s="86"/>
      <c r="J1269" s="86"/>
      <c r="K1269" s="86"/>
      <c r="L1269" s="86"/>
      <c r="M1269" s="86"/>
      <c r="N1269" s="86"/>
      <c r="O1269" s="86"/>
      <c r="P1269" s="86"/>
      <c r="Q1269" s="86"/>
      <c r="R1269" s="158"/>
      <c r="S1269" s="403"/>
    </row>
    <row r="1270" spans="4:20">
      <c r="D1270" s="31"/>
      <c r="E1270" s="986" t="s">
        <v>1356</v>
      </c>
      <c r="F1270" s="987"/>
      <c r="G1270" s="987"/>
      <c r="H1270" s="987"/>
      <c r="I1270" s="987"/>
      <c r="J1270" s="987"/>
      <c r="K1270" s="987"/>
      <c r="L1270" s="987"/>
      <c r="M1270" s="987"/>
      <c r="N1270" s="987"/>
      <c r="O1270" s="987"/>
      <c r="P1270" s="987"/>
      <c r="Q1270" s="988"/>
      <c r="R1270" s="157">
        <f>ROUND((R1265*0.05),2)</f>
        <v>0.4</v>
      </c>
      <c r="S1270" s="156" t="s">
        <v>18</v>
      </c>
    </row>
    <row r="1271" spans="4:20">
      <c r="D1271" s="31"/>
      <c r="E1271" s="86"/>
      <c r="F1271" s="86"/>
      <c r="G1271" s="86"/>
      <c r="H1271" s="86"/>
      <c r="I1271" s="86"/>
      <c r="J1271" s="86"/>
      <c r="K1271" s="86"/>
      <c r="L1271" s="86"/>
      <c r="M1271" s="86"/>
      <c r="N1271" s="86"/>
      <c r="O1271" s="86"/>
      <c r="P1271" s="86"/>
      <c r="Q1271" s="86"/>
      <c r="R1271" s="158"/>
      <c r="S1271" s="403"/>
    </row>
    <row r="1272" spans="4:20">
      <c r="D1272" s="31"/>
      <c r="E1272" s="86"/>
      <c r="F1272" s="86"/>
      <c r="G1272" s="86"/>
      <c r="H1272" s="86"/>
      <c r="I1272" s="86"/>
      <c r="J1272" s="86"/>
      <c r="K1272" s="86"/>
      <c r="L1272" s="86"/>
      <c r="M1272" s="86"/>
      <c r="N1272" s="86"/>
      <c r="O1272" s="86"/>
      <c r="P1272" s="86"/>
      <c r="Q1272" s="86"/>
      <c r="R1272" s="158"/>
      <c r="S1272" s="403"/>
    </row>
    <row r="1273" spans="4:20" ht="39" customHeight="1">
      <c r="D1273" s="31" t="s">
        <v>721</v>
      </c>
      <c r="E1273" s="539" t="s">
        <v>178</v>
      </c>
      <c r="F1273" s="539"/>
      <c r="G1273" s="539"/>
      <c r="H1273" s="539"/>
      <c r="I1273" s="539"/>
      <c r="J1273" s="539"/>
      <c r="K1273" s="539"/>
      <c r="L1273" s="539"/>
      <c r="M1273" s="539"/>
      <c r="N1273" s="539"/>
      <c r="O1273" s="539"/>
      <c r="P1273" s="539"/>
      <c r="Q1273" s="539"/>
      <c r="R1273" s="158"/>
      <c r="S1273" s="403"/>
    </row>
    <row r="1274" spans="4:20">
      <c r="D1274" s="31"/>
      <c r="E1274" s="86"/>
      <c r="F1274" s="86"/>
      <c r="G1274" s="86"/>
      <c r="H1274" s="86"/>
      <c r="I1274" s="86"/>
      <c r="J1274" s="86"/>
      <c r="K1274" s="86"/>
      <c r="L1274" s="86"/>
      <c r="M1274" s="86"/>
      <c r="N1274" s="86"/>
      <c r="O1274" s="86"/>
      <c r="P1274" s="86"/>
      <c r="Q1274" s="86"/>
      <c r="R1274" s="158"/>
      <c r="S1274" s="403"/>
    </row>
    <row r="1275" spans="4:20">
      <c r="D1275" s="31"/>
      <c r="E1275" s="979" t="s">
        <v>177</v>
      </c>
      <c r="F1275" s="980"/>
      <c r="G1275" s="980"/>
      <c r="H1275" s="980"/>
      <c r="I1275" s="980"/>
      <c r="J1275" s="980"/>
      <c r="K1275" s="980"/>
      <c r="L1275" s="980"/>
      <c r="M1275" s="980"/>
      <c r="N1275" s="980"/>
      <c r="O1275" s="980"/>
      <c r="P1275" s="980"/>
      <c r="Q1275" s="981"/>
      <c r="R1275" s="157">
        <f>($I$431*10)*T1275</f>
        <v>56</v>
      </c>
      <c r="S1275" s="156" t="s">
        <v>179</v>
      </c>
      <c r="T1275" s="170">
        <v>0.8</v>
      </c>
    </row>
    <row r="1276" spans="4:20">
      <c r="D1276" s="31"/>
      <c r="E1276" s="86"/>
      <c r="F1276" s="86"/>
      <c r="G1276" s="86"/>
      <c r="H1276" s="86"/>
      <c r="I1276" s="86"/>
      <c r="J1276" s="86"/>
      <c r="K1276" s="86"/>
      <c r="L1276" s="86"/>
      <c r="M1276" s="86"/>
      <c r="N1276" s="86"/>
      <c r="O1276" s="86"/>
      <c r="P1276" s="86"/>
      <c r="Q1276" s="86"/>
      <c r="R1276" s="158"/>
      <c r="S1276" s="403"/>
    </row>
    <row r="1277" spans="4:20">
      <c r="D1277" s="31"/>
      <c r="E1277" s="86"/>
      <c r="F1277" s="86"/>
      <c r="G1277" s="86"/>
      <c r="H1277" s="86"/>
      <c r="I1277" s="86"/>
      <c r="J1277" s="86"/>
      <c r="K1277" s="86"/>
      <c r="L1277" s="86"/>
      <c r="M1277" s="86"/>
      <c r="N1277" s="86"/>
      <c r="O1277" s="86"/>
      <c r="P1277" s="86"/>
      <c r="Q1277" s="86"/>
      <c r="R1277" s="158"/>
      <c r="S1277" s="403"/>
    </row>
    <row r="1278" spans="4:20" ht="30.75" customHeight="1">
      <c r="D1278" s="31" t="s">
        <v>722</v>
      </c>
      <c r="E1278" s="539" t="s">
        <v>178</v>
      </c>
      <c r="F1278" s="539"/>
      <c r="G1278" s="539"/>
      <c r="H1278" s="539"/>
      <c r="I1278" s="539"/>
      <c r="J1278" s="539"/>
      <c r="K1278" s="539"/>
      <c r="L1278" s="539"/>
      <c r="M1278" s="539"/>
      <c r="N1278" s="539"/>
      <c r="O1278" s="539"/>
      <c r="P1278" s="539"/>
      <c r="Q1278" s="539"/>
      <c r="R1278" s="158"/>
      <c r="S1278" s="403"/>
    </row>
    <row r="1279" spans="4:20">
      <c r="D1279" s="31"/>
      <c r="E1279" s="86"/>
      <c r="F1279" s="86"/>
      <c r="G1279" s="86"/>
      <c r="H1279" s="86"/>
      <c r="I1279" s="86"/>
      <c r="J1279" s="86"/>
      <c r="K1279" s="86"/>
      <c r="L1279" s="86"/>
      <c r="M1279" s="86"/>
      <c r="N1279" s="86"/>
      <c r="O1279" s="86"/>
      <c r="P1279" s="86"/>
      <c r="Q1279" s="86"/>
      <c r="R1279" s="158"/>
      <c r="S1279" s="403"/>
    </row>
    <row r="1280" spans="4:20">
      <c r="D1280" s="31"/>
      <c r="E1280" s="979" t="s">
        <v>177</v>
      </c>
      <c r="F1280" s="980"/>
      <c r="G1280" s="980"/>
      <c r="H1280" s="980"/>
      <c r="I1280" s="980"/>
      <c r="J1280" s="980"/>
      <c r="K1280" s="980"/>
      <c r="L1280" s="980"/>
      <c r="M1280" s="980"/>
      <c r="N1280" s="980"/>
      <c r="O1280" s="980"/>
      <c r="P1280" s="980"/>
      <c r="Q1280" s="981"/>
      <c r="R1280" s="157">
        <f>($I$431*10)*T1280</f>
        <v>14</v>
      </c>
      <c r="S1280" s="156" t="s">
        <v>180</v>
      </c>
      <c r="T1280" s="170">
        <v>0.2</v>
      </c>
    </row>
    <row r="1281" spans="4:21">
      <c r="D1281" s="31"/>
      <c r="E1281" s="86"/>
      <c r="F1281" s="86"/>
      <c r="G1281" s="86"/>
      <c r="H1281" s="86"/>
      <c r="I1281" s="86"/>
      <c r="J1281" s="86"/>
      <c r="K1281" s="86"/>
      <c r="L1281" s="86"/>
      <c r="M1281" s="86"/>
      <c r="N1281" s="86"/>
      <c r="O1281" s="86"/>
      <c r="P1281" s="86"/>
      <c r="Q1281" s="86"/>
      <c r="R1281" s="158"/>
      <c r="S1281" s="403"/>
    </row>
    <row r="1282" spans="4:21">
      <c r="D1282" s="31"/>
      <c r="E1282" s="86"/>
      <c r="F1282" s="86"/>
      <c r="G1282" s="86"/>
      <c r="H1282" s="86"/>
      <c r="I1282" s="86"/>
      <c r="J1282" s="86"/>
      <c r="K1282" s="86"/>
      <c r="L1282" s="86"/>
      <c r="M1282" s="86"/>
      <c r="N1282" s="86"/>
      <c r="O1282" s="86"/>
      <c r="P1282" s="86"/>
      <c r="Q1282" s="86"/>
      <c r="R1282" s="158"/>
      <c r="S1282" s="403"/>
    </row>
    <row r="1283" spans="4:21">
      <c r="D1283" s="31" t="s">
        <v>723</v>
      </c>
      <c r="E1283" s="86" t="s">
        <v>1399</v>
      </c>
      <c r="F1283" s="86"/>
      <c r="G1283" s="86"/>
      <c r="H1283" s="86"/>
      <c r="I1283" s="86"/>
      <c r="J1283" s="86"/>
      <c r="K1283" s="86"/>
      <c r="L1283" s="86"/>
      <c r="M1283" s="86"/>
      <c r="N1283" s="86"/>
      <c r="O1283" s="86"/>
      <c r="P1283" s="86"/>
      <c r="Q1283" s="86"/>
      <c r="R1283" s="158"/>
      <c r="S1283" s="403"/>
    </row>
    <row r="1284" spans="4:21">
      <c r="D1284" s="31"/>
      <c r="E1284" s="86"/>
      <c r="F1284" s="86"/>
      <c r="G1284" s="86"/>
      <c r="H1284" s="86"/>
      <c r="I1284" s="86"/>
      <c r="J1284" s="86"/>
      <c r="K1284" s="86"/>
      <c r="L1284" s="86"/>
      <c r="M1284" s="86"/>
      <c r="N1284" s="86"/>
      <c r="O1284" s="86"/>
      <c r="P1284" s="86"/>
      <c r="Q1284" s="86"/>
      <c r="R1284" s="403"/>
      <c r="U1284" s="522"/>
    </row>
    <row r="1285" spans="4:21">
      <c r="D1285" s="31"/>
      <c r="E1285" s="974" t="s">
        <v>1400</v>
      </c>
      <c r="F1285" s="975"/>
      <c r="G1285" s="975"/>
      <c r="H1285" s="975"/>
      <c r="I1285" s="975"/>
      <c r="J1285" s="975"/>
      <c r="K1285" s="975"/>
      <c r="L1285" s="975"/>
      <c r="M1285" s="975"/>
      <c r="N1285" s="975"/>
      <c r="O1285" s="975"/>
      <c r="P1285" s="975"/>
      <c r="Q1285" s="976"/>
      <c r="R1285" s="157">
        <f>Q1227*O1227</f>
        <v>12</v>
      </c>
      <c r="S1285" s="156" t="s">
        <v>18</v>
      </c>
    </row>
    <row r="1286" spans="4:21">
      <c r="D1286" s="31"/>
      <c r="E1286" s="123"/>
      <c r="F1286" s="123"/>
      <c r="G1286" s="123"/>
      <c r="H1286" s="123"/>
      <c r="I1286" s="123"/>
      <c r="J1286" s="123"/>
      <c r="K1286" s="123"/>
      <c r="L1286" s="123"/>
      <c r="M1286" s="123"/>
      <c r="N1286" s="123"/>
      <c r="O1286" s="123"/>
      <c r="P1286" s="123"/>
      <c r="Q1286" s="123"/>
      <c r="R1286" s="158"/>
      <c r="S1286" s="403"/>
    </row>
    <row r="1287" spans="4:21">
      <c r="D1287" s="31"/>
      <c r="E1287" s="86"/>
      <c r="F1287" s="86"/>
      <c r="G1287" s="86"/>
      <c r="H1287" s="86"/>
      <c r="I1287" s="86"/>
      <c r="J1287" s="86"/>
      <c r="K1287" s="86"/>
      <c r="L1287" s="86"/>
      <c r="M1287" s="86"/>
      <c r="N1287" s="86"/>
      <c r="O1287" s="86"/>
      <c r="P1287" s="86"/>
      <c r="Q1287" s="86"/>
      <c r="R1287" s="158"/>
      <c r="S1287" s="403"/>
    </row>
    <row r="1288" spans="4:21">
      <c r="D1288" s="31" t="s">
        <v>724</v>
      </c>
      <c r="E1288" s="173" t="s">
        <v>96</v>
      </c>
      <c r="F1288" s="86"/>
      <c r="G1288" s="86"/>
      <c r="H1288" s="86"/>
      <c r="I1288" s="86"/>
      <c r="J1288" s="86"/>
      <c r="K1288" s="86"/>
      <c r="L1288" s="86"/>
      <c r="M1288" s="86"/>
      <c r="N1288" s="86"/>
      <c r="O1288" s="86"/>
      <c r="P1288" s="86"/>
      <c r="Q1288" s="86"/>
      <c r="R1288" s="158"/>
      <c r="S1288" s="403"/>
    </row>
    <row r="1289" spans="4:21">
      <c r="D1289" s="31"/>
      <c r="E1289" s="86"/>
      <c r="F1289" s="86"/>
      <c r="G1289" s="86"/>
      <c r="H1289" s="86"/>
      <c r="I1289" s="86"/>
      <c r="J1289" s="86"/>
      <c r="K1289" s="86"/>
      <c r="L1289" s="86"/>
      <c r="M1289" s="86"/>
      <c r="N1289" s="86"/>
      <c r="O1289" s="86"/>
      <c r="P1289" s="86"/>
      <c r="Q1289" s="86"/>
      <c r="R1289" s="158"/>
      <c r="S1289" s="403"/>
    </row>
    <row r="1290" spans="4:21">
      <c r="D1290" s="31"/>
      <c r="E1290" s="974" t="s">
        <v>34</v>
      </c>
      <c r="F1290" s="975"/>
      <c r="G1290" s="975"/>
      <c r="H1290" s="975"/>
      <c r="I1290" s="975"/>
      <c r="J1290" s="975"/>
      <c r="K1290" s="975"/>
      <c r="L1290" s="975"/>
      <c r="M1290" s="975"/>
      <c r="N1290" s="975"/>
      <c r="O1290" s="975"/>
      <c r="P1290" s="975"/>
      <c r="Q1290" s="976"/>
      <c r="R1290" s="156"/>
      <c r="S1290" s="11"/>
    </row>
    <row r="1291" spans="4:21">
      <c r="D1291" s="31"/>
      <c r="E1291" s="974" t="s">
        <v>140</v>
      </c>
      <c r="F1291" s="975"/>
      <c r="G1291" s="975"/>
      <c r="H1291" s="975"/>
      <c r="I1291" s="975"/>
      <c r="J1291" s="975"/>
      <c r="K1291" s="975"/>
      <c r="L1291" s="975"/>
      <c r="M1291" s="975"/>
      <c r="N1291" s="975"/>
      <c r="O1291" s="975"/>
      <c r="P1291" s="975"/>
      <c r="Q1291" s="978"/>
      <c r="R1291" s="157">
        <f>Q1227*0.15</f>
        <v>1.2</v>
      </c>
      <c r="S1291" s="156" t="s">
        <v>18</v>
      </c>
    </row>
    <row r="1292" spans="4:21">
      <c r="D1292" s="31"/>
      <c r="E1292" s="86"/>
      <c r="F1292" s="86"/>
      <c r="G1292" s="86"/>
      <c r="H1292" s="86"/>
      <c r="I1292" s="86"/>
      <c r="J1292" s="86"/>
      <c r="K1292" s="86"/>
      <c r="L1292" s="86"/>
      <c r="M1292" s="86"/>
      <c r="N1292" s="86"/>
      <c r="O1292" s="86"/>
      <c r="P1292" s="86"/>
      <c r="Q1292" s="86"/>
      <c r="R1292" s="158"/>
      <c r="S1292" s="403"/>
    </row>
    <row r="1293" spans="4:21">
      <c r="D1293" s="31"/>
      <c r="E1293" s="86"/>
      <c r="F1293" s="86"/>
      <c r="G1293" s="86"/>
      <c r="H1293" s="86"/>
      <c r="I1293" s="86"/>
      <c r="J1293" s="86"/>
      <c r="K1293" s="86"/>
      <c r="L1293" s="86"/>
      <c r="M1293" s="86"/>
      <c r="N1293" s="86"/>
      <c r="O1293" s="86"/>
      <c r="P1293" s="86"/>
      <c r="Q1293" s="86"/>
      <c r="R1293" s="158"/>
      <c r="S1293" s="403"/>
    </row>
    <row r="1294" spans="4:21">
      <c r="D1294" s="31" t="s">
        <v>725</v>
      </c>
      <c r="E1294" s="173" t="s">
        <v>24</v>
      </c>
      <c r="F1294" s="86"/>
      <c r="G1294" s="86"/>
      <c r="H1294" s="86"/>
      <c r="I1294" s="86"/>
      <c r="J1294" s="86"/>
      <c r="K1294" s="86"/>
      <c r="L1294" s="86"/>
      <c r="M1294" s="86"/>
      <c r="N1294" s="86"/>
      <c r="O1294" s="86"/>
      <c r="P1294" s="86"/>
      <c r="Q1294" s="86"/>
      <c r="R1294" s="158"/>
      <c r="S1294" s="403"/>
    </row>
    <row r="1295" spans="4:21">
      <c r="D1295" s="31"/>
      <c r="E1295" s="86"/>
      <c r="F1295" s="86"/>
      <c r="G1295" s="86"/>
      <c r="H1295" s="86"/>
      <c r="I1295" s="86"/>
      <c r="J1295" s="86"/>
      <c r="K1295" s="86"/>
      <c r="L1295" s="86"/>
      <c r="M1295" s="86"/>
      <c r="N1295" s="86"/>
      <c r="O1295" s="86"/>
      <c r="P1295" s="86"/>
      <c r="Q1295" s="86"/>
      <c r="R1295" s="158"/>
      <c r="S1295" s="403"/>
    </row>
    <row r="1296" spans="4:21">
      <c r="D1296" s="31"/>
      <c r="E1296" s="979" t="s">
        <v>141</v>
      </c>
      <c r="F1296" s="980"/>
      <c r="G1296" s="980"/>
      <c r="H1296" s="980"/>
      <c r="I1296" s="980"/>
      <c r="J1296" s="980"/>
      <c r="K1296" s="980"/>
      <c r="L1296" s="980"/>
      <c r="M1296" s="980"/>
      <c r="N1296" s="980"/>
      <c r="O1296" s="980"/>
      <c r="P1296" s="980"/>
      <c r="Q1296" s="981"/>
      <c r="R1296" s="159">
        <f>Q1227*1</f>
        <v>8</v>
      </c>
      <c r="S1296" s="498" t="s">
        <v>17</v>
      </c>
    </row>
    <row r="1297" spans="3:22">
      <c r="D1297" s="31"/>
      <c r="E1297" s="86"/>
      <c r="F1297" s="86"/>
      <c r="G1297" s="86"/>
      <c r="H1297" s="86"/>
      <c r="I1297" s="86"/>
      <c r="J1297" s="86"/>
      <c r="K1297" s="86"/>
      <c r="L1297" s="86"/>
      <c r="M1297" s="86"/>
      <c r="N1297" s="86"/>
      <c r="O1297" s="86"/>
      <c r="P1297" s="86"/>
      <c r="Q1297" s="86"/>
      <c r="R1297" s="158"/>
      <c r="S1297" s="403"/>
    </row>
    <row r="1298" spans="3:22">
      <c r="D1298" s="31"/>
      <c r="E1298" s="86"/>
      <c r="F1298" s="86"/>
      <c r="G1298" s="86"/>
      <c r="H1298" s="86"/>
      <c r="I1298" s="86"/>
      <c r="J1298" s="86"/>
      <c r="K1298" s="86"/>
      <c r="L1298" s="86"/>
      <c r="M1298" s="86"/>
      <c r="N1298" s="86"/>
      <c r="O1298" s="86"/>
      <c r="P1298" s="86"/>
      <c r="Q1298" s="86"/>
      <c r="R1298" s="158"/>
      <c r="S1298" s="403"/>
    </row>
    <row r="1299" spans="3:22">
      <c r="D1299" s="31" t="s">
        <v>726</v>
      </c>
      <c r="E1299" s="173" t="s">
        <v>353</v>
      </c>
      <c r="F1299" s="86"/>
      <c r="G1299" s="86"/>
      <c r="H1299" s="86"/>
      <c r="I1299" s="86"/>
      <c r="J1299" s="86"/>
      <c r="K1299" s="86"/>
      <c r="L1299" s="86"/>
      <c r="M1299" s="86"/>
      <c r="N1299" s="86"/>
      <c r="O1299" s="86"/>
      <c r="P1299" s="86"/>
      <c r="Q1299" s="86"/>
      <c r="R1299" s="158"/>
      <c r="S1299" s="403"/>
    </row>
    <row r="1300" spans="3:22">
      <c r="D1300" s="31"/>
      <c r="E1300" s="86"/>
      <c r="F1300" s="86"/>
      <c r="G1300" s="86"/>
      <c r="H1300" s="86"/>
      <c r="I1300" s="86"/>
      <c r="J1300" s="86"/>
      <c r="K1300" s="86"/>
      <c r="L1300" s="86"/>
      <c r="M1300" s="86"/>
      <c r="N1300" s="86"/>
      <c r="O1300" s="86"/>
      <c r="P1300" s="86"/>
      <c r="Q1300" s="86"/>
      <c r="R1300" s="158"/>
      <c r="S1300" s="403"/>
    </row>
    <row r="1301" spans="3:22">
      <c r="D1301" s="31"/>
      <c r="E1301" s="974" t="s">
        <v>35</v>
      </c>
      <c r="F1301" s="975"/>
      <c r="G1301" s="975"/>
      <c r="H1301" s="975"/>
      <c r="I1301" s="975"/>
      <c r="J1301" s="975"/>
      <c r="K1301" s="975"/>
      <c r="L1301" s="975"/>
      <c r="M1301" s="975"/>
      <c r="N1301" s="975"/>
      <c r="O1301" s="975"/>
      <c r="P1301" s="975"/>
      <c r="Q1301" s="976"/>
      <c r="R1301" s="161"/>
      <c r="S1301" s="11"/>
    </row>
    <row r="1302" spans="3:22">
      <c r="D1302" s="31"/>
      <c r="E1302" s="974" t="s">
        <v>354</v>
      </c>
      <c r="F1302" s="975"/>
      <c r="G1302" s="975"/>
      <c r="H1302" s="975"/>
      <c r="I1302" s="975"/>
      <c r="J1302" s="975"/>
      <c r="K1302" s="975"/>
      <c r="L1302" s="975"/>
      <c r="M1302" s="975"/>
      <c r="N1302" s="975"/>
      <c r="O1302" s="975"/>
      <c r="P1302" s="975"/>
      <c r="Q1302" s="978"/>
      <c r="R1302" s="157">
        <f>Q1227*0.05</f>
        <v>0.4</v>
      </c>
      <c r="S1302" s="156" t="s">
        <v>18</v>
      </c>
    </row>
    <row r="1306" spans="3:22">
      <c r="C1306" s="117" t="s">
        <v>622</v>
      </c>
      <c r="D1306" s="176" t="s">
        <v>19</v>
      </c>
      <c r="E1306" s="477"/>
      <c r="F1306" s="477"/>
      <c r="G1306" s="477"/>
      <c r="H1306" s="477"/>
      <c r="I1306" s="477"/>
      <c r="J1306" s="477"/>
      <c r="K1306" s="477"/>
      <c r="L1306" s="477"/>
      <c r="M1306" s="477"/>
      <c r="N1306" s="477"/>
      <c r="O1306" s="477"/>
      <c r="P1306" s="477"/>
      <c r="Q1306" s="477"/>
      <c r="R1306" s="477"/>
      <c r="S1306" s="477"/>
      <c r="T1306" s="477"/>
      <c r="U1306" s="477"/>
      <c r="V1306" s="504"/>
    </row>
    <row r="1307" spans="3:22">
      <c r="D1307" s="444"/>
      <c r="E1307" s="444"/>
      <c r="F1307" s="444"/>
      <c r="G1307" s="444"/>
      <c r="H1307" s="444"/>
      <c r="I1307" s="444"/>
      <c r="J1307" s="444"/>
      <c r="K1307" s="444"/>
      <c r="L1307" s="444"/>
      <c r="M1307" s="444"/>
      <c r="N1307" s="10"/>
      <c r="O1307" s="444"/>
      <c r="P1307" s="444"/>
      <c r="Q1307" s="444"/>
      <c r="R1307" s="136"/>
      <c r="S1307" s="136"/>
      <c r="T1307" s="444"/>
      <c r="U1307" s="444"/>
      <c r="V1307" s="444"/>
    </row>
    <row r="1308" spans="3:22">
      <c r="D1308" s="1020" t="s">
        <v>102</v>
      </c>
      <c r="E1308" s="1020"/>
      <c r="F1308" s="1020"/>
      <c r="G1308" s="1020"/>
      <c r="H1308" s="1020"/>
      <c r="I1308" s="1020"/>
      <c r="J1308" s="1020"/>
      <c r="K1308" s="1020"/>
      <c r="L1308" s="1020"/>
      <c r="M1308" s="1020"/>
      <c r="N1308" s="14"/>
      <c r="O1308" s="405"/>
      <c r="P1308" s="134"/>
      <c r="Q1308" s="636"/>
      <c r="R1308" s="524"/>
      <c r="S1308" s="524"/>
      <c r="T1308" s="524"/>
      <c r="U1308" s="524"/>
      <c r="V1308" s="524"/>
    </row>
    <row r="1309" spans="3:22">
      <c r="D1309" s="1003" t="s">
        <v>103</v>
      </c>
      <c r="E1309" s="1003"/>
      <c r="F1309" s="1003"/>
      <c r="G1309" s="1003"/>
      <c r="H1309" s="1003"/>
      <c r="I1309" s="1003" t="s">
        <v>1</v>
      </c>
      <c r="J1309" s="1003"/>
      <c r="K1309" s="1003"/>
      <c r="L1309" s="1003"/>
      <c r="M1309" s="1003"/>
      <c r="N1309" s="15"/>
      <c r="O1309" s="525"/>
      <c r="P1309" s="525"/>
      <c r="Q1309" s="525"/>
      <c r="R1309" s="525"/>
      <c r="S1309" s="1019"/>
      <c r="T1309" s="1019"/>
      <c r="U1309" s="1019"/>
      <c r="V1309" s="1019"/>
    </row>
    <row r="1310" spans="3:22">
      <c r="D1310" s="1006"/>
      <c r="E1310" s="1006"/>
      <c r="F1310" s="1006"/>
      <c r="G1310" s="1006"/>
      <c r="H1310" s="1006"/>
      <c r="I1310" s="1006"/>
      <c r="J1310" s="1006"/>
      <c r="K1310" s="1006"/>
      <c r="L1310" s="1006"/>
      <c r="M1310" s="1006"/>
      <c r="N1310" s="23"/>
      <c r="O1310" s="1016"/>
      <c r="P1310" s="1016"/>
      <c r="Q1310" s="1017"/>
      <c r="R1310" s="1017"/>
      <c r="S1310" s="1014"/>
      <c r="T1310" s="1014"/>
      <c r="U1310" s="1015"/>
      <c r="V1310" s="1015"/>
    </row>
    <row r="1311" spans="3:22">
      <c r="D1311" s="544">
        <v>1</v>
      </c>
      <c r="E1311" s="17" t="s">
        <v>108</v>
      </c>
      <c r="F1311" s="993" t="s">
        <v>109</v>
      </c>
      <c r="G1311" s="993"/>
      <c r="H1311" s="993"/>
      <c r="I1311" s="544">
        <f>$I$1227*D1311</f>
        <v>2</v>
      </c>
      <c r="J1311" s="19" t="s">
        <v>108</v>
      </c>
      <c r="K1311" s="993" t="s">
        <v>109</v>
      </c>
      <c r="L1311" s="993"/>
      <c r="M1311" s="993"/>
      <c r="N1311" s="20"/>
      <c r="O1311" s="135"/>
      <c r="P1311" s="135"/>
      <c r="Q1311" s="135"/>
      <c r="R1311" s="135"/>
      <c r="S1311" s="135"/>
      <c r="T1311" s="135"/>
      <c r="U1311" s="135"/>
      <c r="V1311" s="135"/>
    </row>
    <row r="1312" spans="3:22">
      <c r="D1312" s="544">
        <v>4</v>
      </c>
      <c r="E1312" s="17" t="s">
        <v>108</v>
      </c>
      <c r="F1312" s="993" t="s">
        <v>110</v>
      </c>
      <c r="G1312" s="993"/>
      <c r="H1312" s="993"/>
      <c r="I1312" s="544">
        <f t="shared" ref="I1312:I1314" si="21">$I$1227*D1312</f>
        <v>8</v>
      </c>
      <c r="J1312" s="19" t="s">
        <v>108</v>
      </c>
      <c r="K1312" s="993" t="s">
        <v>110</v>
      </c>
      <c r="L1312" s="993"/>
      <c r="M1312" s="993"/>
      <c r="N1312" s="20"/>
      <c r="O1312" s="524"/>
      <c r="P1312" s="524"/>
      <c r="Q1312" s="524"/>
      <c r="R1312" s="524"/>
      <c r="S1312" s="1059"/>
      <c r="T1312" s="1059"/>
      <c r="U1312" s="1059"/>
      <c r="V1312" s="1059"/>
    </row>
    <row r="1313" spans="3:22">
      <c r="D1313" s="544">
        <v>4</v>
      </c>
      <c r="E1313" s="17" t="s">
        <v>108</v>
      </c>
      <c r="F1313" s="993" t="s">
        <v>113</v>
      </c>
      <c r="G1313" s="993"/>
      <c r="H1313" s="993"/>
      <c r="I1313" s="544">
        <f t="shared" si="21"/>
        <v>8</v>
      </c>
      <c r="J1313" s="19" t="s">
        <v>108</v>
      </c>
      <c r="K1313" s="993" t="s">
        <v>113</v>
      </c>
      <c r="L1313" s="993"/>
      <c r="M1313" s="993"/>
      <c r="N1313" s="21"/>
      <c r="O1313" s="134"/>
      <c r="P1313" s="405"/>
      <c r="Q1313" s="994"/>
      <c r="R1313" s="994"/>
      <c r="S1313" s="134"/>
      <c r="T1313" s="405"/>
    </row>
    <row r="1314" spans="3:22">
      <c r="D1314" s="544">
        <v>4</v>
      </c>
      <c r="E1314" s="19" t="s">
        <v>108</v>
      </c>
      <c r="F1314" s="993" t="s">
        <v>114</v>
      </c>
      <c r="G1314" s="993"/>
      <c r="H1314" s="993"/>
      <c r="I1314" s="544">
        <f t="shared" si="21"/>
        <v>8</v>
      </c>
      <c r="J1314" s="19" t="s">
        <v>108</v>
      </c>
      <c r="K1314" s="993" t="s">
        <v>114</v>
      </c>
      <c r="L1314" s="993"/>
      <c r="M1314" s="993"/>
      <c r="N1314" s="21"/>
      <c r="O1314" s="134"/>
      <c r="P1314" s="405"/>
      <c r="Q1314" s="994"/>
      <c r="R1314" s="994"/>
      <c r="S1314" s="134"/>
      <c r="T1314" s="405"/>
      <c r="U1314" s="994"/>
      <c r="V1314" s="994"/>
    </row>
    <row r="1315" spans="3:22">
      <c r="N1315" s="474"/>
    </row>
    <row r="1316" spans="3:22">
      <c r="D1316" s="88"/>
      <c r="E1316" s="88"/>
      <c r="F1316" s="88"/>
      <c r="G1316" s="88"/>
      <c r="H1316" s="88"/>
      <c r="I1316" s="88"/>
      <c r="J1316" s="88"/>
      <c r="K1316" s="88"/>
      <c r="L1316" s="88"/>
      <c r="M1316" s="88"/>
      <c r="N1316" s="88"/>
      <c r="O1316" s="88"/>
      <c r="P1316" s="88"/>
      <c r="Q1316" s="88"/>
      <c r="R1316" s="154"/>
      <c r="S1316" s="154"/>
      <c r="T1316" s="88"/>
      <c r="U1316" s="88"/>
      <c r="V1316" s="88"/>
    </row>
    <row r="1317" spans="3:22">
      <c r="D1317" s="1011" t="s">
        <v>1347</v>
      </c>
      <c r="E1317" s="1012"/>
      <c r="F1317" s="1012"/>
      <c r="G1317" s="1012"/>
      <c r="H1317" s="1013"/>
      <c r="I1317" s="88"/>
      <c r="J1317" s="88"/>
      <c r="K1317" s="88"/>
      <c r="L1317" s="88"/>
      <c r="M1317" s="88"/>
      <c r="N1317" s="88"/>
      <c r="O1317" s="88"/>
      <c r="P1317" s="88"/>
      <c r="Q1317" s="88"/>
      <c r="S1317" s="154"/>
      <c r="T1317" s="88"/>
      <c r="U1317" s="88"/>
      <c r="V1317" s="88"/>
    </row>
    <row r="1318" spans="3:22">
      <c r="D1318" s="11" t="s">
        <v>623</v>
      </c>
      <c r="E1318" s="123" t="s">
        <v>1346</v>
      </c>
      <c r="F1318" s="397"/>
      <c r="G1318" s="397"/>
      <c r="H1318" s="487"/>
      <c r="I1318" s="88"/>
      <c r="J1318" s="88"/>
      <c r="K1318" s="88"/>
      <c r="L1318" s="88"/>
      <c r="M1318" s="88"/>
      <c r="N1318" s="88"/>
      <c r="O1318" s="88"/>
      <c r="P1318" s="88"/>
      <c r="Q1318" s="88"/>
      <c r="R1318" s="159">
        <f>I1311</f>
        <v>2</v>
      </c>
      <c r="S1318" s="11" t="s">
        <v>352</v>
      </c>
      <c r="T1318" s="88"/>
      <c r="U1318" s="88"/>
      <c r="V1318" s="88"/>
    </row>
    <row r="1319" spans="3:22">
      <c r="D1319" s="11" t="s">
        <v>624</v>
      </c>
      <c r="E1319" s="8" t="s">
        <v>1484</v>
      </c>
      <c r="F1319" s="397"/>
      <c r="G1319" s="397"/>
      <c r="H1319" s="487"/>
      <c r="I1319" s="88"/>
      <c r="J1319" s="88"/>
      <c r="K1319" s="88"/>
      <c r="L1319" s="88"/>
      <c r="M1319" s="88"/>
      <c r="N1319" s="88"/>
      <c r="O1319" s="88"/>
      <c r="P1319" s="88"/>
      <c r="Q1319" s="88"/>
      <c r="R1319" s="159">
        <f>I1312</f>
        <v>8</v>
      </c>
      <c r="S1319" s="11" t="s">
        <v>352</v>
      </c>
      <c r="T1319" s="88"/>
      <c r="U1319" s="88"/>
      <c r="V1319" s="88"/>
    </row>
    <row r="1320" spans="3:22">
      <c r="D1320" s="11" t="s">
        <v>727</v>
      </c>
      <c r="E1320" s="8" t="s">
        <v>1485</v>
      </c>
      <c r="F1320" s="397"/>
      <c r="G1320" s="397"/>
      <c r="H1320" s="487"/>
      <c r="I1320" s="88"/>
      <c r="J1320" s="88"/>
      <c r="K1320" s="88"/>
      <c r="L1320" s="88"/>
      <c r="M1320" s="88"/>
      <c r="N1320" s="88"/>
      <c r="O1320" s="88"/>
      <c r="P1320" s="88"/>
      <c r="Q1320" s="88"/>
      <c r="R1320" s="159">
        <f>I1313</f>
        <v>8</v>
      </c>
      <c r="S1320" s="11" t="s">
        <v>352</v>
      </c>
      <c r="T1320" s="88"/>
      <c r="U1320" s="88"/>
      <c r="V1320" s="88"/>
    </row>
    <row r="1321" spans="3:22">
      <c r="D1321" s="11" t="s">
        <v>728</v>
      </c>
      <c r="E1321" s="8" t="s">
        <v>1486</v>
      </c>
      <c r="F1321" s="397"/>
      <c r="G1321" s="397"/>
      <c r="H1321" s="487"/>
      <c r="I1321" s="88"/>
      <c r="J1321" s="88"/>
      <c r="K1321" s="88"/>
      <c r="L1321" s="88"/>
      <c r="M1321" s="88"/>
      <c r="N1321" s="88"/>
      <c r="O1321" s="88"/>
      <c r="P1321" s="88"/>
      <c r="Q1321" s="88"/>
      <c r="R1321" s="159">
        <f>I1314</f>
        <v>8</v>
      </c>
      <c r="S1321" s="11" t="s">
        <v>352</v>
      </c>
      <c r="T1321" s="88"/>
      <c r="U1321" s="88"/>
      <c r="V1321" s="88"/>
    </row>
    <row r="1322" spans="3:22">
      <c r="D1322" s="396"/>
      <c r="E1322" s="397"/>
      <c r="F1322" s="397"/>
      <c r="G1322" s="397"/>
      <c r="H1322" s="487"/>
      <c r="I1322" s="88"/>
      <c r="J1322" s="88"/>
      <c r="K1322" s="88"/>
      <c r="L1322" s="88"/>
      <c r="M1322" s="88"/>
      <c r="N1322" s="88"/>
      <c r="O1322" s="88"/>
      <c r="P1322" s="88"/>
      <c r="Q1322" s="88"/>
      <c r="S1322" s="154"/>
      <c r="T1322" s="88"/>
      <c r="U1322" s="88"/>
      <c r="V1322" s="88"/>
    </row>
    <row r="1324" spans="3:22">
      <c r="C1324" s="117" t="s">
        <v>625</v>
      </c>
      <c r="D1324" s="176" t="s">
        <v>162</v>
      </c>
      <c r="E1324" s="477"/>
      <c r="F1324" s="477"/>
      <c r="G1324" s="477"/>
      <c r="H1324" s="504"/>
    </row>
    <row r="1326" spans="3:22">
      <c r="D1326" s="11" t="s">
        <v>626</v>
      </c>
      <c r="E1326" s="24" t="s">
        <v>49</v>
      </c>
      <c r="F1326" s="11"/>
      <c r="G1326" s="180"/>
      <c r="H1326" s="180"/>
      <c r="I1326" s="180"/>
      <c r="J1326" s="180"/>
      <c r="K1326" s="180"/>
      <c r="L1326" s="180"/>
      <c r="M1326" s="180"/>
      <c r="N1326" s="180"/>
      <c r="O1326" s="180"/>
      <c r="P1326" s="180"/>
      <c r="Q1326" s="180"/>
      <c r="R1326" s="158"/>
      <c r="S1326" s="403"/>
    </row>
    <row r="1328" spans="3:22">
      <c r="E1328" s="986" t="s">
        <v>242</v>
      </c>
      <c r="F1328" s="987"/>
      <c r="G1328" s="987"/>
      <c r="H1328" s="987"/>
      <c r="I1328" s="987"/>
      <c r="J1328" s="987"/>
      <c r="K1328" s="987"/>
      <c r="L1328" s="987"/>
      <c r="M1328" s="987"/>
      <c r="N1328" s="987"/>
      <c r="O1328" s="987"/>
      <c r="P1328" s="987"/>
      <c r="Q1328" s="1004"/>
      <c r="R1328" s="157">
        <f>Q1227</f>
        <v>8</v>
      </c>
      <c r="S1328" s="11" t="s">
        <v>17</v>
      </c>
    </row>
    <row r="1329" spans="3:19">
      <c r="E1329" s="395"/>
      <c r="F1329" s="395"/>
      <c r="G1329" s="395"/>
      <c r="H1329" s="395"/>
      <c r="I1329" s="395"/>
      <c r="J1329" s="395"/>
      <c r="K1329" s="395"/>
      <c r="L1329" s="395"/>
      <c r="M1329" s="395"/>
      <c r="N1329" s="395"/>
      <c r="O1329" s="395"/>
      <c r="P1329" s="395"/>
      <c r="Q1329" s="395"/>
      <c r="R1329" s="158"/>
      <c r="S1329" s="403"/>
    </row>
    <row r="1330" spans="3:19">
      <c r="E1330" s="395"/>
      <c r="F1330" s="395"/>
      <c r="G1330" s="395"/>
      <c r="H1330" s="395"/>
      <c r="I1330" s="395"/>
      <c r="J1330" s="395"/>
      <c r="K1330" s="395"/>
      <c r="L1330" s="395"/>
      <c r="M1330" s="395"/>
      <c r="N1330" s="395"/>
      <c r="O1330" s="395"/>
      <c r="P1330" s="395"/>
      <c r="Q1330" s="395"/>
      <c r="R1330" s="158"/>
      <c r="S1330" s="403"/>
    </row>
    <row r="1331" spans="3:19">
      <c r="C1331" s="205" t="s">
        <v>629</v>
      </c>
      <c r="D1331" s="396" t="s">
        <v>358</v>
      </c>
      <c r="E1331" s="123"/>
      <c r="F1331" s="395"/>
      <c r="G1331" s="395"/>
      <c r="H1331" s="395"/>
      <c r="I1331" s="395"/>
      <c r="J1331" s="395"/>
      <c r="K1331" s="395"/>
      <c r="L1331" s="395"/>
      <c r="M1331" s="395"/>
      <c r="N1331" s="395"/>
      <c r="O1331" s="395"/>
      <c r="P1331" s="395"/>
      <c r="Q1331" s="395"/>
      <c r="R1331" s="158"/>
      <c r="S1331" s="403"/>
    </row>
    <row r="1332" spans="3:19">
      <c r="D1332" s="403" t="s">
        <v>630</v>
      </c>
      <c r="E1332" s="123" t="s">
        <v>1348</v>
      </c>
      <c r="F1332" s="395"/>
      <c r="G1332" s="395"/>
      <c r="H1332" s="395"/>
      <c r="I1332" s="395"/>
      <c r="J1332" s="395"/>
      <c r="K1332" s="395"/>
      <c r="L1332" s="395"/>
      <c r="M1332" s="395"/>
      <c r="N1332" s="395"/>
      <c r="O1332" s="395"/>
      <c r="P1332" s="395"/>
      <c r="Q1332" s="395"/>
      <c r="R1332" s="157">
        <f>4*2*2</f>
        <v>16</v>
      </c>
      <c r="S1332" s="11" t="s">
        <v>352</v>
      </c>
    </row>
    <row r="1333" spans="3:19">
      <c r="D1333" s="403" t="s">
        <v>633</v>
      </c>
      <c r="E1333" s="8" t="s">
        <v>1349</v>
      </c>
      <c r="F1333" s="398"/>
      <c r="G1333" s="399"/>
      <c r="H1333" s="399"/>
      <c r="I1333" s="399"/>
      <c r="J1333" s="399"/>
      <c r="K1333" s="399"/>
      <c r="L1333" s="399"/>
      <c r="M1333" s="399"/>
      <c r="N1333" s="399"/>
      <c r="O1333" s="399"/>
      <c r="P1333" s="399"/>
      <c r="Q1333" s="399"/>
      <c r="R1333" s="157">
        <f>8*2*2</f>
        <v>32</v>
      </c>
      <c r="S1333" s="11" t="s">
        <v>352</v>
      </c>
    </row>
    <row r="1334" spans="3:19">
      <c r="D1334" s="403" t="s">
        <v>634</v>
      </c>
      <c r="E1334" s="8" t="s">
        <v>1350</v>
      </c>
      <c r="F1334" s="398"/>
      <c r="G1334" s="399"/>
      <c r="H1334" s="399"/>
      <c r="I1334" s="399"/>
      <c r="J1334" s="399"/>
      <c r="K1334" s="399"/>
      <c r="L1334" s="399"/>
      <c r="M1334" s="399"/>
      <c r="N1334" s="399"/>
      <c r="O1334" s="399"/>
      <c r="P1334" s="399"/>
      <c r="Q1334" s="399"/>
      <c r="R1334" s="157">
        <f>8*2*1*2</f>
        <v>32</v>
      </c>
      <c r="S1334" s="11" t="s">
        <v>352</v>
      </c>
    </row>
    <row r="1335" spans="3:19">
      <c r="D1335" s="403" t="s">
        <v>635</v>
      </c>
      <c r="E1335" s="8" t="s">
        <v>1351</v>
      </c>
      <c r="F1335" s="398"/>
      <c r="G1335" s="399"/>
      <c r="H1335" s="399"/>
      <c r="I1335" s="399"/>
      <c r="J1335" s="399"/>
      <c r="K1335" s="399"/>
      <c r="L1335" s="399"/>
      <c r="M1335" s="399"/>
      <c r="N1335" s="399"/>
      <c r="O1335" s="399"/>
      <c r="P1335" s="399"/>
      <c r="Q1335" s="399"/>
      <c r="R1335" s="157">
        <f>8*2*1*2</f>
        <v>32</v>
      </c>
      <c r="S1335" s="11" t="s">
        <v>352</v>
      </c>
    </row>
    <row r="1336" spans="3:19">
      <c r="D1336" s="403" t="s">
        <v>636</v>
      </c>
      <c r="E1336" s="8" t="s">
        <v>1352</v>
      </c>
      <c r="F1336" s="398"/>
      <c r="G1336" s="399"/>
      <c r="H1336" s="399"/>
      <c r="I1336" s="399"/>
      <c r="J1336" s="399"/>
      <c r="K1336" s="399"/>
      <c r="L1336" s="399"/>
      <c r="M1336" s="399"/>
      <c r="N1336" s="399"/>
      <c r="O1336" s="399"/>
      <c r="P1336" s="399"/>
      <c r="Q1336" s="399"/>
      <c r="R1336" s="157">
        <f>8*2*1*2</f>
        <v>32</v>
      </c>
      <c r="S1336" s="11" t="s">
        <v>352</v>
      </c>
    </row>
    <row r="1337" spans="3:19">
      <c r="D1337" s="403"/>
      <c r="E1337" s="86"/>
      <c r="F1337" s="395"/>
      <c r="G1337" s="395"/>
      <c r="H1337" s="395"/>
      <c r="I1337" s="395"/>
      <c r="J1337" s="395"/>
      <c r="K1337" s="395"/>
      <c r="L1337" s="395"/>
      <c r="M1337" s="395"/>
      <c r="N1337" s="395"/>
      <c r="O1337" s="395"/>
      <c r="P1337" s="395"/>
      <c r="Q1337" s="395"/>
      <c r="R1337" s="158"/>
      <c r="S1337" s="403"/>
    </row>
    <row r="1338" spans="3:19">
      <c r="D1338" s="403"/>
      <c r="E1338" s="86"/>
      <c r="F1338" s="395"/>
      <c r="G1338" s="395"/>
      <c r="H1338" s="395"/>
      <c r="I1338" s="395"/>
      <c r="J1338" s="395"/>
      <c r="K1338" s="395"/>
      <c r="L1338" s="395"/>
      <c r="M1338" s="395"/>
      <c r="N1338" s="395"/>
      <c r="O1338" s="395"/>
      <c r="P1338" s="395"/>
      <c r="Q1338" s="395"/>
      <c r="R1338" s="158"/>
      <c r="S1338" s="403"/>
    </row>
    <row r="1339" spans="3:19">
      <c r="C1339" s="205" t="s">
        <v>631</v>
      </c>
      <c r="D1339" s="396" t="s">
        <v>1202</v>
      </c>
      <c r="E1339" s="8"/>
      <c r="F1339" s="398"/>
      <c r="G1339" s="399"/>
      <c r="H1339" s="399"/>
      <c r="I1339" s="399"/>
      <c r="J1339" s="399"/>
      <c r="K1339" s="399"/>
      <c r="L1339" s="399"/>
      <c r="M1339" s="399"/>
      <c r="N1339" s="399"/>
      <c r="O1339" s="399"/>
      <c r="P1339" s="399"/>
      <c r="Q1339" s="399"/>
      <c r="R1339" s="158"/>
      <c r="S1339" s="403"/>
    </row>
    <row r="1340" spans="3:19">
      <c r="D1340" s="403" t="s">
        <v>632</v>
      </c>
      <c r="E1340" s="8" t="s">
        <v>1487</v>
      </c>
      <c r="F1340" s="398"/>
      <c r="G1340" s="399"/>
      <c r="H1340" s="399"/>
      <c r="I1340" s="399"/>
      <c r="J1340" s="399"/>
      <c r="K1340" s="399"/>
      <c r="L1340" s="399"/>
      <c r="M1340" s="399"/>
      <c r="N1340" s="399"/>
      <c r="O1340" s="399"/>
      <c r="P1340" s="399"/>
      <c r="Q1340" s="399"/>
      <c r="R1340" s="157">
        <f>4*1*2</f>
        <v>8</v>
      </c>
      <c r="S1340" s="156" t="s">
        <v>352</v>
      </c>
    </row>
    <row r="1341" spans="3:19">
      <c r="D1341" s="403" t="s">
        <v>637</v>
      </c>
      <c r="E1341" s="8" t="s">
        <v>1488</v>
      </c>
      <c r="F1341" s="398"/>
      <c r="G1341" s="399"/>
      <c r="H1341" s="399"/>
      <c r="I1341" s="399"/>
      <c r="J1341" s="399"/>
      <c r="K1341" s="399"/>
      <c r="L1341" s="399"/>
      <c r="M1341" s="399"/>
      <c r="N1341" s="399"/>
      <c r="O1341" s="399"/>
      <c r="P1341" s="399"/>
      <c r="Q1341" s="399"/>
      <c r="R1341" s="157">
        <f>8*1*1*2</f>
        <v>16</v>
      </c>
      <c r="S1341" s="156" t="s">
        <v>352</v>
      </c>
    </row>
    <row r="1342" spans="3:19">
      <c r="D1342" s="403" t="s">
        <v>638</v>
      </c>
      <c r="E1342" s="8" t="s">
        <v>1489</v>
      </c>
      <c r="F1342" s="398"/>
      <c r="G1342" s="399"/>
      <c r="H1342" s="399"/>
      <c r="I1342" s="399"/>
      <c r="J1342" s="399"/>
      <c r="K1342" s="399"/>
      <c r="L1342" s="399"/>
      <c r="M1342" s="399"/>
      <c r="N1342" s="399"/>
      <c r="O1342" s="399"/>
      <c r="P1342" s="399"/>
      <c r="Q1342" s="399"/>
      <c r="R1342" s="157">
        <f>8*1*1*2</f>
        <v>16</v>
      </c>
      <c r="S1342" s="156" t="s">
        <v>352</v>
      </c>
    </row>
    <row r="1343" spans="3:19">
      <c r="E1343" s="395"/>
      <c r="F1343" s="395"/>
      <c r="G1343" s="395"/>
      <c r="H1343" s="395"/>
      <c r="I1343" s="395"/>
      <c r="J1343" s="395"/>
      <c r="K1343" s="395"/>
      <c r="L1343" s="395"/>
      <c r="M1343" s="395"/>
      <c r="N1343" s="395"/>
      <c r="O1343" s="395"/>
      <c r="P1343" s="395"/>
      <c r="Q1343" s="395"/>
      <c r="R1343" s="158"/>
      <c r="S1343" s="403"/>
    </row>
    <row r="1344" spans="3:19">
      <c r="E1344" s="395"/>
      <c r="F1344" s="395"/>
      <c r="G1344" s="395"/>
      <c r="H1344" s="395"/>
      <c r="I1344" s="395"/>
      <c r="J1344" s="395"/>
      <c r="K1344" s="395"/>
      <c r="L1344" s="395"/>
      <c r="M1344" s="395"/>
      <c r="N1344" s="395"/>
      <c r="O1344" s="395"/>
      <c r="P1344" s="395"/>
      <c r="Q1344" s="395"/>
      <c r="R1344" s="158"/>
      <c r="S1344" s="403"/>
    </row>
    <row r="1345" spans="3:19" ht="15">
      <c r="C1345" s="651">
        <v>12</v>
      </c>
      <c r="D1345" s="652" t="s">
        <v>1354</v>
      </c>
    </row>
    <row r="1346" spans="3:19">
      <c r="C1346" s="190"/>
      <c r="D1346" s="174"/>
    </row>
    <row r="1347" spans="3:19">
      <c r="C1347" s="205" t="s">
        <v>644</v>
      </c>
      <c r="D1347" s="396" t="s">
        <v>358</v>
      </c>
      <c r="E1347" s="123"/>
      <c r="F1347" s="395"/>
      <c r="G1347" s="395"/>
      <c r="H1347" s="395"/>
      <c r="I1347" s="395"/>
      <c r="J1347" s="395"/>
      <c r="K1347" s="395"/>
      <c r="L1347" s="395"/>
      <c r="M1347" s="395"/>
      <c r="N1347" s="395"/>
      <c r="O1347" s="395"/>
      <c r="P1347" s="395"/>
      <c r="Q1347" s="395"/>
      <c r="R1347" s="158"/>
      <c r="S1347" s="403"/>
    </row>
    <row r="1348" spans="3:19">
      <c r="D1348" s="403" t="s">
        <v>645</v>
      </c>
      <c r="E1348" s="123" t="s">
        <v>1208</v>
      </c>
      <c r="F1348" s="395"/>
      <c r="G1348" s="395"/>
      <c r="H1348" s="395"/>
      <c r="I1348" s="395"/>
      <c r="J1348" s="395"/>
      <c r="K1348" s="395"/>
      <c r="L1348" s="395"/>
      <c r="M1348" s="395"/>
      <c r="N1348" s="395"/>
      <c r="O1348" s="395"/>
      <c r="P1348" s="395"/>
      <c r="Q1348" s="395"/>
      <c r="R1348" s="157">
        <f>4*2</f>
        <v>8</v>
      </c>
      <c r="S1348" s="11" t="s">
        <v>352</v>
      </c>
    </row>
    <row r="1349" spans="3:19">
      <c r="D1349" s="403" t="s">
        <v>646</v>
      </c>
      <c r="E1349" s="8" t="s">
        <v>1177</v>
      </c>
      <c r="F1349" s="398"/>
      <c r="G1349" s="399"/>
      <c r="H1349" s="399"/>
      <c r="I1349" s="399"/>
      <c r="J1349" s="399"/>
      <c r="K1349" s="399"/>
      <c r="L1349" s="399"/>
      <c r="M1349" s="399"/>
      <c r="N1349" s="399"/>
      <c r="O1349" s="399"/>
      <c r="P1349" s="399"/>
      <c r="Q1349" s="399"/>
      <c r="R1349" s="157">
        <f>8*2</f>
        <v>16</v>
      </c>
      <c r="S1349" s="11" t="s">
        <v>352</v>
      </c>
    </row>
    <row r="1350" spans="3:19">
      <c r="D1350" s="403" t="s">
        <v>647</v>
      </c>
      <c r="E1350" s="8" t="s">
        <v>1161</v>
      </c>
      <c r="F1350" s="398"/>
      <c r="G1350" s="399"/>
      <c r="H1350" s="399"/>
      <c r="I1350" s="399"/>
      <c r="J1350" s="399"/>
      <c r="K1350" s="399"/>
      <c r="L1350" s="399"/>
      <c r="M1350" s="399"/>
      <c r="N1350" s="399"/>
      <c r="O1350" s="399"/>
      <c r="P1350" s="399"/>
      <c r="Q1350" s="399"/>
      <c r="R1350" s="157">
        <f>8*2*1</f>
        <v>16</v>
      </c>
      <c r="S1350" s="11" t="s">
        <v>352</v>
      </c>
    </row>
    <row r="1351" spans="3:19">
      <c r="D1351" s="403" t="s">
        <v>648</v>
      </c>
      <c r="E1351" s="8" t="s">
        <v>1162</v>
      </c>
      <c r="F1351" s="398"/>
      <c r="G1351" s="399"/>
      <c r="H1351" s="399"/>
      <c r="I1351" s="399"/>
      <c r="J1351" s="399"/>
      <c r="K1351" s="399"/>
      <c r="L1351" s="399"/>
      <c r="M1351" s="399"/>
      <c r="N1351" s="399"/>
      <c r="O1351" s="399"/>
      <c r="P1351" s="399"/>
      <c r="Q1351" s="399"/>
      <c r="R1351" s="157">
        <f>8*2*1</f>
        <v>16</v>
      </c>
      <c r="S1351" s="11" t="s">
        <v>352</v>
      </c>
    </row>
    <row r="1352" spans="3:19">
      <c r="D1352" s="403" t="s">
        <v>649</v>
      </c>
      <c r="E1352" s="8" t="s">
        <v>1179</v>
      </c>
      <c r="F1352" s="398"/>
      <c r="G1352" s="399"/>
      <c r="H1352" s="399"/>
      <c r="I1352" s="399"/>
      <c r="J1352" s="399"/>
      <c r="K1352" s="399"/>
      <c r="L1352" s="399"/>
      <c r="M1352" s="399"/>
      <c r="N1352" s="399"/>
      <c r="O1352" s="399"/>
      <c r="P1352" s="399"/>
      <c r="Q1352" s="399"/>
      <c r="R1352" s="157">
        <f>8*2*1</f>
        <v>16</v>
      </c>
      <c r="S1352" s="11" t="s">
        <v>352</v>
      </c>
    </row>
    <row r="1353" spans="3:19">
      <c r="D1353" s="403"/>
      <c r="E1353" s="86"/>
      <c r="F1353" s="395"/>
      <c r="G1353" s="395"/>
      <c r="H1353" s="395"/>
      <c r="I1353" s="395"/>
      <c r="J1353" s="395"/>
      <c r="K1353" s="395"/>
      <c r="L1353" s="395"/>
      <c r="M1353" s="395"/>
      <c r="N1353" s="395"/>
      <c r="O1353" s="395"/>
      <c r="P1353" s="395"/>
      <c r="Q1353" s="395"/>
      <c r="R1353" s="158"/>
      <c r="S1353" s="403"/>
    </row>
    <row r="1354" spans="3:19">
      <c r="C1354" s="205" t="s">
        <v>650</v>
      </c>
      <c r="D1354" s="396" t="s">
        <v>1202</v>
      </c>
      <c r="E1354" s="8"/>
      <c r="F1354" s="398"/>
      <c r="G1354" s="399"/>
      <c r="H1354" s="399"/>
      <c r="I1354" s="399"/>
      <c r="J1354" s="399"/>
      <c r="K1354" s="399"/>
      <c r="L1354" s="399"/>
      <c r="M1354" s="399"/>
      <c r="N1354" s="399"/>
      <c r="O1354" s="399"/>
      <c r="P1354" s="399"/>
      <c r="Q1354" s="399"/>
      <c r="R1354" s="158"/>
      <c r="S1354" s="403"/>
    </row>
    <row r="1355" spans="3:19">
      <c r="D1355" s="403" t="s">
        <v>651</v>
      </c>
      <c r="E1355" s="8" t="s">
        <v>1199</v>
      </c>
      <c r="F1355" s="398"/>
      <c r="G1355" s="399"/>
      <c r="H1355" s="399"/>
      <c r="I1355" s="399"/>
      <c r="J1355" s="399"/>
      <c r="K1355" s="399"/>
      <c r="L1355" s="399"/>
      <c r="M1355" s="399"/>
      <c r="N1355" s="399"/>
      <c r="O1355" s="399"/>
      <c r="P1355" s="399"/>
      <c r="Q1355" s="399"/>
      <c r="R1355" s="157">
        <f>4*1</f>
        <v>4</v>
      </c>
      <c r="S1355" s="156" t="s">
        <v>352</v>
      </c>
    </row>
    <row r="1356" spans="3:19">
      <c r="D1356" s="403" t="s">
        <v>652</v>
      </c>
      <c r="E1356" s="8" t="s">
        <v>1200</v>
      </c>
      <c r="F1356" s="398"/>
      <c r="G1356" s="399"/>
      <c r="H1356" s="399"/>
      <c r="I1356" s="399"/>
      <c r="J1356" s="399"/>
      <c r="K1356" s="399"/>
      <c r="L1356" s="399"/>
      <c r="M1356" s="399"/>
      <c r="N1356" s="399"/>
      <c r="O1356" s="399"/>
      <c r="P1356" s="399"/>
      <c r="Q1356" s="399"/>
      <c r="R1356" s="157">
        <f>8*1*1</f>
        <v>8</v>
      </c>
      <c r="S1356" s="156" t="s">
        <v>352</v>
      </c>
    </row>
    <row r="1357" spans="3:19">
      <c r="D1357" s="403" t="s">
        <v>653</v>
      </c>
      <c r="E1357" s="8" t="s">
        <v>1201</v>
      </c>
      <c r="F1357" s="398"/>
      <c r="G1357" s="399"/>
      <c r="H1357" s="399"/>
      <c r="I1357" s="399"/>
      <c r="J1357" s="399"/>
      <c r="K1357" s="399"/>
      <c r="L1357" s="399"/>
      <c r="M1357" s="399"/>
      <c r="N1357" s="399"/>
      <c r="O1357" s="399"/>
      <c r="P1357" s="399"/>
      <c r="Q1357" s="399"/>
      <c r="R1357" s="157">
        <f>8*1*1</f>
        <v>8</v>
      </c>
      <c r="S1357" s="156" t="s">
        <v>352</v>
      </c>
    </row>
    <row r="1358" spans="3:19">
      <c r="C1358" s="190"/>
      <c r="D1358" s="174"/>
    </row>
    <row r="1359" spans="3:19">
      <c r="C1359" s="190"/>
      <c r="D1359" s="174"/>
    </row>
    <row r="1360" spans="3:19" ht="15">
      <c r="C1360" s="651">
        <f>'Planilha Orçamentária'!A541</f>
        <v>13</v>
      </c>
      <c r="D1360" s="652" t="str">
        <f>'Planilha Orçamentária'!B541</f>
        <v>Setor 10 - Conego Nazareno I</v>
      </c>
    </row>
    <row r="1361" spans="3:19">
      <c r="C1361" s="190"/>
      <c r="D1361" s="174"/>
    </row>
    <row r="1362" spans="3:19">
      <c r="C1362" s="205" t="s">
        <v>320</v>
      </c>
      <c r="D1362" s="396" t="s">
        <v>358</v>
      </c>
      <c r="E1362" s="123"/>
      <c r="F1362" s="395"/>
      <c r="G1362" s="395"/>
      <c r="H1362" s="395"/>
      <c r="I1362" s="395"/>
      <c r="J1362" s="395"/>
      <c r="K1362" s="395"/>
      <c r="L1362" s="395"/>
      <c r="M1362" s="395"/>
      <c r="N1362" s="395"/>
      <c r="O1362" s="395"/>
      <c r="P1362" s="395"/>
      <c r="Q1362" s="395"/>
      <c r="R1362" s="158"/>
      <c r="S1362" s="403"/>
    </row>
    <row r="1363" spans="3:19">
      <c r="D1363" s="403" t="s">
        <v>655</v>
      </c>
      <c r="E1363" s="123" t="s">
        <v>1208</v>
      </c>
      <c r="F1363" s="395"/>
      <c r="G1363" s="395"/>
      <c r="H1363" s="395"/>
      <c r="I1363" s="395"/>
      <c r="J1363" s="395"/>
      <c r="K1363" s="395"/>
      <c r="L1363" s="395"/>
      <c r="M1363" s="395"/>
      <c r="N1363" s="395"/>
      <c r="O1363" s="395"/>
      <c r="P1363" s="395"/>
      <c r="Q1363" s="395"/>
      <c r="R1363" s="157">
        <f>4*2</f>
        <v>8</v>
      </c>
      <c r="S1363" s="11" t="s">
        <v>352</v>
      </c>
    </row>
    <row r="1364" spans="3:19">
      <c r="D1364" s="403" t="s">
        <v>656</v>
      </c>
      <c r="E1364" s="8" t="s">
        <v>1177</v>
      </c>
      <c r="F1364" s="398"/>
      <c r="G1364" s="399"/>
      <c r="H1364" s="399"/>
      <c r="I1364" s="399"/>
      <c r="J1364" s="399"/>
      <c r="K1364" s="399"/>
      <c r="L1364" s="399"/>
      <c r="M1364" s="399"/>
      <c r="N1364" s="399"/>
      <c r="O1364" s="399"/>
      <c r="P1364" s="399"/>
      <c r="Q1364" s="399"/>
      <c r="R1364" s="157">
        <f>8*2</f>
        <v>16</v>
      </c>
      <c r="S1364" s="11" t="s">
        <v>352</v>
      </c>
    </row>
    <row r="1365" spans="3:19">
      <c r="D1365" s="403" t="s">
        <v>657</v>
      </c>
      <c r="E1365" s="8" t="s">
        <v>1161</v>
      </c>
      <c r="F1365" s="398"/>
      <c r="G1365" s="399"/>
      <c r="H1365" s="399"/>
      <c r="I1365" s="399"/>
      <c r="J1365" s="399"/>
      <c r="K1365" s="399"/>
      <c r="L1365" s="399"/>
      <c r="M1365" s="399"/>
      <c r="N1365" s="399"/>
      <c r="O1365" s="399"/>
      <c r="P1365" s="399"/>
      <c r="Q1365" s="399"/>
      <c r="R1365" s="157">
        <f>8*2*1</f>
        <v>16</v>
      </c>
      <c r="S1365" s="11" t="s">
        <v>352</v>
      </c>
    </row>
    <row r="1366" spans="3:19">
      <c r="D1366" s="403" t="s">
        <v>658</v>
      </c>
      <c r="E1366" s="8" t="s">
        <v>1162</v>
      </c>
      <c r="F1366" s="398"/>
      <c r="G1366" s="399"/>
      <c r="H1366" s="399"/>
      <c r="I1366" s="399"/>
      <c r="J1366" s="399"/>
      <c r="K1366" s="399"/>
      <c r="L1366" s="399"/>
      <c r="M1366" s="399"/>
      <c r="N1366" s="399"/>
      <c r="O1366" s="399"/>
      <c r="P1366" s="399"/>
      <c r="Q1366" s="399"/>
      <c r="R1366" s="157">
        <f>8*2*1</f>
        <v>16</v>
      </c>
      <c r="S1366" s="11" t="s">
        <v>352</v>
      </c>
    </row>
    <row r="1367" spans="3:19">
      <c r="D1367" s="403" t="s">
        <v>659</v>
      </c>
      <c r="E1367" s="8" t="s">
        <v>1179</v>
      </c>
      <c r="F1367" s="398"/>
      <c r="G1367" s="399"/>
      <c r="H1367" s="399"/>
      <c r="I1367" s="399"/>
      <c r="J1367" s="399"/>
      <c r="K1367" s="399"/>
      <c r="L1367" s="399"/>
      <c r="M1367" s="399"/>
      <c r="N1367" s="399"/>
      <c r="O1367" s="399"/>
      <c r="P1367" s="399"/>
      <c r="Q1367" s="399"/>
      <c r="R1367" s="157">
        <f>8*2*1</f>
        <v>16</v>
      </c>
      <c r="S1367" s="11" t="s">
        <v>352</v>
      </c>
    </row>
    <row r="1368" spans="3:19">
      <c r="D1368" s="403"/>
      <c r="E1368" s="86"/>
      <c r="F1368" s="395"/>
      <c r="G1368" s="395"/>
      <c r="H1368" s="395"/>
      <c r="I1368" s="395"/>
      <c r="J1368" s="395"/>
      <c r="K1368" s="395"/>
      <c r="L1368" s="395"/>
      <c r="M1368" s="395"/>
      <c r="N1368" s="395"/>
      <c r="O1368" s="395"/>
      <c r="P1368" s="395"/>
      <c r="Q1368" s="395"/>
      <c r="R1368" s="158"/>
      <c r="S1368" s="403"/>
    </row>
    <row r="1369" spans="3:19">
      <c r="C1369" s="205" t="s">
        <v>321</v>
      </c>
      <c r="D1369" s="396" t="s">
        <v>1202</v>
      </c>
      <c r="E1369" s="8"/>
      <c r="F1369" s="398"/>
      <c r="G1369" s="399"/>
      <c r="H1369" s="399"/>
      <c r="I1369" s="399"/>
      <c r="J1369" s="399"/>
      <c r="K1369" s="399"/>
      <c r="L1369" s="399"/>
      <c r="M1369" s="399"/>
      <c r="N1369" s="399"/>
      <c r="O1369" s="399"/>
      <c r="P1369" s="399"/>
      <c r="Q1369" s="399"/>
      <c r="R1369" s="158"/>
      <c r="S1369" s="403"/>
    </row>
    <row r="1370" spans="3:19">
      <c r="D1370" s="403" t="s">
        <v>660</v>
      </c>
      <c r="E1370" s="8" t="s">
        <v>1199</v>
      </c>
      <c r="F1370" s="398"/>
      <c r="G1370" s="399"/>
      <c r="H1370" s="399"/>
      <c r="I1370" s="399"/>
      <c r="J1370" s="399"/>
      <c r="K1370" s="399"/>
      <c r="L1370" s="399"/>
      <c r="M1370" s="399"/>
      <c r="N1370" s="399"/>
      <c r="O1370" s="399"/>
      <c r="P1370" s="399"/>
      <c r="Q1370" s="399"/>
      <c r="R1370" s="157">
        <f>4*1</f>
        <v>4</v>
      </c>
      <c r="S1370" s="156" t="s">
        <v>352</v>
      </c>
    </row>
    <row r="1371" spans="3:19">
      <c r="D1371" s="403" t="s">
        <v>661</v>
      </c>
      <c r="E1371" s="8" t="s">
        <v>1200</v>
      </c>
      <c r="F1371" s="398"/>
      <c r="G1371" s="399"/>
      <c r="H1371" s="399"/>
      <c r="I1371" s="399"/>
      <c r="J1371" s="399"/>
      <c r="K1371" s="399"/>
      <c r="L1371" s="399"/>
      <c r="M1371" s="399"/>
      <c r="N1371" s="399"/>
      <c r="O1371" s="399"/>
      <c r="P1371" s="399"/>
      <c r="Q1371" s="399"/>
      <c r="R1371" s="157">
        <f>8*1*1</f>
        <v>8</v>
      </c>
      <c r="S1371" s="156" t="s">
        <v>352</v>
      </c>
    </row>
    <row r="1372" spans="3:19">
      <c r="D1372" s="403" t="s">
        <v>662</v>
      </c>
      <c r="E1372" s="8" t="s">
        <v>1201</v>
      </c>
      <c r="F1372" s="398"/>
      <c r="G1372" s="399"/>
      <c r="H1372" s="399"/>
      <c r="I1372" s="399"/>
      <c r="J1372" s="399"/>
      <c r="K1372" s="399"/>
      <c r="L1372" s="399"/>
      <c r="M1372" s="399"/>
      <c r="N1372" s="399"/>
      <c r="O1372" s="399"/>
      <c r="P1372" s="399"/>
      <c r="Q1372" s="399"/>
      <c r="R1372" s="157">
        <f>8*1*1</f>
        <v>8</v>
      </c>
      <c r="S1372" s="156" t="s">
        <v>352</v>
      </c>
    </row>
    <row r="1373" spans="3:19">
      <c r="C1373" s="190"/>
      <c r="D1373" s="174"/>
    </row>
    <row r="1374" spans="3:19">
      <c r="C1374" s="190"/>
      <c r="D1374" s="174"/>
    </row>
    <row r="1375" spans="3:19" ht="15">
      <c r="C1375" s="651">
        <v>14</v>
      </c>
      <c r="D1375" s="655" t="s">
        <v>1355</v>
      </c>
      <c r="E1375" s="24"/>
      <c r="R1375" s="158"/>
      <c r="S1375" s="156"/>
    </row>
    <row r="1376" spans="3:19">
      <c r="C1376" s="141"/>
      <c r="D1376" s="397"/>
      <c r="E1376" s="402"/>
      <c r="R1376" s="158"/>
      <c r="S1376" s="503"/>
    </row>
    <row r="1377" spans="3:22">
      <c r="C1377" s="1011" t="s">
        <v>131</v>
      </c>
      <c r="D1377" s="1012"/>
      <c r="E1377" s="1012"/>
      <c r="F1377" s="1012"/>
      <c r="G1377" s="1012"/>
      <c r="H1377" s="1012"/>
      <c r="I1377" s="1012"/>
      <c r="J1377" s="1012"/>
      <c r="K1377" s="1012"/>
      <c r="L1377" s="1012"/>
      <c r="M1377" s="1012"/>
      <c r="N1377" s="1012"/>
      <c r="O1377" s="1012"/>
      <c r="P1377" s="1012"/>
      <c r="Q1377" s="1012"/>
      <c r="R1377" s="1012"/>
      <c r="S1377" s="1012"/>
      <c r="T1377" s="1012"/>
      <c r="U1377" s="1012"/>
      <c r="V1377" s="1013"/>
    </row>
    <row r="1378" spans="3:22">
      <c r="C1378" s="629"/>
      <c r="D1378" s="640"/>
      <c r="E1378" s="640"/>
      <c r="F1378" s="640"/>
      <c r="G1378" s="640"/>
      <c r="H1378" s="640"/>
      <c r="I1378" s="640"/>
      <c r="J1378" s="640"/>
      <c r="K1378" s="640"/>
      <c r="L1378" s="640"/>
      <c r="M1378" s="640"/>
      <c r="N1378" s="640"/>
      <c r="O1378" s="640"/>
      <c r="P1378" s="640"/>
      <c r="Q1378" s="640"/>
      <c r="R1378" s="640"/>
      <c r="S1378" s="640"/>
      <c r="T1378" s="640"/>
      <c r="U1378" s="640"/>
      <c r="V1378" s="641"/>
    </row>
    <row r="1379" spans="3:22">
      <c r="C1379" s="1047" t="s">
        <v>260</v>
      </c>
      <c r="D1379" s="1048"/>
      <c r="E1379" s="1048"/>
      <c r="F1379" s="1048"/>
      <c r="G1379" s="1048"/>
      <c r="H1379" s="1048"/>
      <c r="I1379" s="1048"/>
      <c r="J1379" s="1048"/>
      <c r="K1379" s="1048"/>
      <c r="L1379" s="1048"/>
      <c r="M1379" s="1048"/>
      <c r="N1379" s="1048"/>
      <c r="O1379" s="1048"/>
      <c r="P1379" s="1048"/>
      <c r="Q1379" s="1048"/>
      <c r="R1379" s="1048"/>
      <c r="S1379" s="1048"/>
      <c r="T1379" s="1048"/>
      <c r="U1379" s="1048"/>
      <c r="V1379" s="1049"/>
    </row>
    <row r="1380" spans="3:22">
      <c r="C1380" s="1050"/>
      <c r="D1380" s="1051"/>
      <c r="E1380" s="1051"/>
      <c r="F1380" s="1051"/>
      <c r="G1380" s="1051"/>
      <c r="H1380" s="1051"/>
      <c r="I1380" s="1051"/>
      <c r="J1380" s="1051"/>
      <c r="K1380" s="1051"/>
      <c r="L1380" s="1051"/>
      <c r="M1380" s="1051"/>
      <c r="N1380" s="1051"/>
      <c r="O1380" s="1051"/>
      <c r="P1380" s="1051"/>
      <c r="Q1380" s="1051"/>
      <c r="R1380" s="1051"/>
      <c r="S1380" s="1051"/>
      <c r="T1380" s="1051"/>
      <c r="U1380" s="1051"/>
      <c r="V1380" s="1052"/>
    </row>
    <row r="1381" spans="3:22">
      <c r="C1381" s="1053" t="s">
        <v>27</v>
      </c>
      <c r="D1381" s="1054"/>
      <c r="E1381" s="1054"/>
      <c r="F1381" s="1054"/>
      <c r="G1381" s="1054"/>
      <c r="H1381" s="1055"/>
      <c r="I1381" s="1053" t="s">
        <v>30</v>
      </c>
      <c r="J1381" s="1055"/>
      <c r="K1381" s="1053" t="s">
        <v>20</v>
      </c>
      <c r="L1381" s="1055"/>
      <c r="M1381" s="1053" t="s">
        <v>152</v>
      </c>
      <c r="N1381" s="1055"/>
      <c r="O1381" s="1053" t="s">
        <v>47</v>
      </c>
      <c r="P1381" s="1055"/>
      <c r="Q1381" s="1053" t="s">
        <v>48</v>
      </c>
      <c r="R1381" s="1055"/>
      <c r="S1381" s="1053" t="s">
        <v>33</v>
      </c>
      <c r="T1381" s="1055"/>
      <c r="U1381" s="1053" t="s">
        <v>46</v>
      </c>
      <c r="V1381" s="1055"/>
    </row>
    <row r="1382" spans="3:22">
      <c r="C1382" s="1056"/>
      <c r="D1382" s="1057"/>
      <c r="E1382" s="1057"/>
      <c r="F1382" s="1057"/>
      <c r="G1382" s="1057"/>
      <c r="H1382" s="1058"/>
      <c r="I1382" s="1056"/>
      <c r="J1382" s="1058"/>
      <c r="K1382" s="1056"/>
      <c r="L1382" s="1058"/>
      <c r="M1382" s="1056"/>
      <c r="N1382" s="1058"/>
      <c r="O1382" s="1056"/>
      <c r="P1382" s="1058"/>
      <c r="Q1382" s="1056"/>
      <c r="R1382" s="1058"/>
      <c r="S1382" s="1056"/>
      <c r="T1382" s="1058"/>
      <c r="U1382" s="1056"/>
      <c r="V1382" s="1058"/>
    </row>
    <row r="1383" spans="3:22">
      <c r="C1383" s="1043" t="s">
        <v>238</v>
      </c>
      <c r="D1383" s="1044"/>
      <c r="E1383" s="1044"/>
      <c r="F1383" s="1044"/>
      <c r="G1383" s="1044"/>
      <c r="H1383" s="1045"/>
      <c r="I1383" s="1035">
        <v>2</v>
      </c>
      <c r="J1383" s="1036"/>
      <c r="K1383" s="1039">
        <v>2</v>
      </c>
      <c r="L1383" s="1030" t="s">
        <v>0</v>
      </c>
      <c r="M1383" s="1039">
        <v>2</v>
      </c>
      <c r="N1383" s="1030" t="s">
        <v>0</v>
      </c>
      <c r="O1383" s="1041">
        <v>1.5</v>
      </c>
      <c r="P1383" s="1030" t="s">
        <v>0</v>
      </c>
      <c r="Q1383" s="1039">
        <f>I1383*K1383*M1383</f>
        <v>8</v>
      </c>
      <c r="R1383" s="1026" t="s">
        <v>17</v>
      </c>
      <c r="S1383" s="1028">
        <f>(I1383*K1383*M1383*O1383)*1.2</f>
        <v>14.399999999999999</v>
      </c>
      <c r="T1383" s="1030" t="s">
        <v>18</v>
      </c>
      <c r="U1383" s="1031" t="s">
        <v>28</v>
      </c>
      <c r="V1383" s="1032"/>
    </row>
    <row r="1384" spans="3:22">
      <c r="C1384" s="1033"/>
      <c r="D1384" s="1046"/>
      <c r="E1384" s="1046"/>
      <c r="F1384" s="1046"/>
      <c r="G1384" s="1046"/>
      <c r="H1384" s="1034"/>
      <c r="I1384" s="1037"/>
      <c r="J1384" s="1038"/>
      <c r="K1384" s="1040"/>
      <c r="L1384" s="1002"/>
      <c r="M1384" s="1040"/>
      <c r="N1384" s="1002"/>
      <c r="O1384" s="1042"/>
      <c r="P1384" s="1002"/>
      <c r="Q1384" s="1040"/>
      <c r="R1384" s="1027"/>
      <c r="S1384" s="1029"/>
      <c r="T1384" s="1002"/>
      <c r="U1384" s="1033"/>
      <c r="V1384" s="1034"/>
    </row>
    <row r="1385" spans="3:22">
      <c r="C1385" s="994"/>
      <c r="D1385" s="994"/>
      <c r="E1385" s="994"/>
      <c r="F1385" s="994"/>
      <c r="G1385" s="994"/>
      <c r="H1385" s="994"/>
      <c r="I1385" s="994"/>
      <c r="J1385" s="994"/>
      <c r="K1385" s="994"/>
      <c r="L1385" s="994"/>
      <c r="M1385" s="994"/>
      <c r="N1385" s="994"/>
      <c r="O1385" s="994"/>
      <c r="P1385" s="994"/>
      <c r="Q1385" s="994"/>
      <c r="R1385" s="994"/>
      <c r="S1385" s="994"/>
      <c r="T1385" s="994"/>
      <c r="U1385" s="994"/>
      <c r="V1385" s="994"/>
    </row>
    <row r="1387" spans="3:22">
      <c r="C1387" s="205" t="s">
        <v>325</v>
      </c>
      <c r="D1387" s="476" t="s">
        <v>258</v>
      </c>
      <c r="E1387" s="477"/>
      <c r="F1387" s="478"/>
      <c r="G1387" s="478"/>
      <c r="H1387" s="478"/>
      <c r="I1387" s="478"/>
      <c r="J1387" s="478"/>
      <c r="K1387" s="478"/>
      <c r="L1387" s="478"/>
      <c r="M1387" s="478"/>
      <c r="N1387" s="478"/>
      <c r="O1387" s="479"/>
      <c r="P1387" s="9"/>
      <c r="Q1387" s="10"/>
      <c r="R1387" s="11"/>
      <c r="S1387" s="11"/>
    </row>
    <row r="1388" spans="3:22">
      <c r="D1388" s="174"/>
      <c r="E1388" s="174"/>
      <c r="F1388" s="475"/>
      <c r="G1388" s="475"/>
      <c r="H1388" s="475"/>
      <c r="I1388" s="475"/>
      <c r="J1388" s="475"/>
      <c r="K1388" s="475"/>
      <c r="L1388" s="475"/>
      <c r="M1388" s="475"/>
      <c r="N1388" s="475"/>
      <c r="O1388" s="475"/>
      <c r="P1388" s="443"/>
      <c r="Q1388" s="443"/>
      <c r="R1388" s="403"/>
      <c r="S1388" s="403"/>
    </row>
    <row r="1389" spans="3:22">
      <c r="D1389" s="31" t="s">
        <v>663</v>
      </c>
      <c r="E1389" s="173" t="s">
        <v>37</v>
      </c>
      <c r="F1389" s="443"/>
      <c r="G1389" s="443"/>
      <c r="H1389" s="443"/>
      <c r="I1389" s="443"/>
      <c r="J1389" s="443"/>
      <c r="K1389" s="443"/>
      <c r="L1389" s="443"/>
      <c r="M1389" s="443"/>
      <c r="N1389" s="443"/>
      <c r="O1389" s="443"/>
      <c r="P1389" s="443"/>
      <c r="Q1389" s="443"/>
      <c r="R1389" s="158"/>
    </row>
    <row r="1390" spans="3:22">
      <c r="D1390" s="162"/>
      <c r="E1390" s="163"/>
      <c r="F1390" s="86"/>
      <c r="G1390" s="86"/>
      <c r="H1390" s="86"/>
      <c r="I1390" s="86"/>
      <c r="J1390" s="86"/>
      <c r="K1390" s="86"/>
      <c r="L1390" s="86"/>
      <c r="M1390" s="86"/>
      <c r="N1390" s="86"/>
      <c r="O1390" s="86"/>
      <c r="P1390" s="86"/>
      <c r="Q1390" s="86"/>
      <c r="R1390" s="158"/>
    </row>
    <row r="1391" spans="3:22">
      <c r="F1391" s="982" t="s">
        <v>191</v>
      </c>
      <c r="G1391" s="983"/>
      <c r="H1391" s="983"/>
      <c r="I1391" s="983"/>
      <c r="J1391" s="983"/>
      <c r="K1391" s="995"/>
      <c r="L1391" s="997" t="s">
        <v>192</v>
      </c>
      <c r="M1391" s="999">
        <v>12</v>
      </c>
      <c r="N1391" s="1001" t="s">
        <v>193</v>
      </c>
    </row>
    <row r="1392" spans="3:22">
      <c r="F1392" s="984"/>
      <c r="G1392" s="985"/>
      <c r="H1392" s="985"/>
      <c r="I1392" s="985"/>
      <c r="J1392" s="985"/>
      <c r="K1392" s="996"/>
      <c r="L1392" s="998"/>
      <c r="M1392" s="1000"/>
      <c r="N1392" s="1002"/>
    </row>
    <row r="1394" spans="4:19" ht="12.75" customHeight="1">
      <c r="F1394" s="1021" t="s">
        <v>194</v>
      </c>
      <c r="G1394" s="1022"/>
      <c r="H1394" s="1022"/>
      <c r="I1394" s="1022"/>
      <c r="J1394" s="1023"/>
      <c r="K1394" s="982" t="s">
        <v>259</v>
      </c>
      <c r="L1394" s="983"/>
      <c r="M1394" s="983"/>
      <c r="N1394" s="983"/>
      <c r="O1394" s="983"/>
      <c r="P1394" s="983"/>
      <c r="Q1394" s="995"/>
      <c r="R1394" s="136"/>
      <c r="S1394" s="11"/>
    </row>
    <row r="1395" spans="4:19">
      <c r="F1395" s="10"/>
      <c r="G1395" s="10"/>
      <c r="H1395" s="10"/>
      <c r="I1395" s="10"/>
      <c r="J1395" s="10"/>
      <c r="K1395" s="10"/>
      <c r="L1395" s="10"/>
      <c r="M1395" s="10"/>
      <c r="N1395" s="10"/>
      <c r="O1395" s="10"/>
      <c r="P1395" s="10"/>
      <c r="Q1395" s="10"/>
      <c r="R1395" s="11"/>
      <c r="S1395" s="11"/>
    </row>
    <row r="1396" spans="4:19" ht="12.75" customHeight="1">
      <c r="F1396" s="10"/>
      <c r="G1396" s="10"/>
      <c r="H1396" s="10"/>
      <c r="I1396" s="10"/>
      <c r="J1396" s="10"/>
      <c r="K1396" s="982" t="s">
        <v>1183</v>
      </c>
      <c r="L1396" s="983"/>
      <c r="M1396" s="983"/>
      <c r="N1396" s="983"/>
      <c r="O1396" s="983"/>
      <c r="P1396" s="983"/>
      <c r="Q1396" s="983"/>
      <c r="R1396" s="11"/>
      <c r="S1396" s="11"/>
    </row>
    <row r="1397" spans="4:19">
      <c r="F1397" s="10"/>
      <c r="G1397" s="10"/>
      <c r="H1397" s="10"/>
      <c r="I1397" s="10"/>
      <c r="J1397" s="10"/>
      <c r="K1397" s="984"/>
      <c r="L1397" s="985"/>
      <c r="M1397" s="985"/>
      <c r="N1397" s="985"/>
      <c r="O1397" s="985"/>
      <c r="P1397" s="985"/>
      <c r="Q1397" s="985"/>
      <c r="R1397" s="157">
        <f>(I1383*(2*(K1383*2+M1383*2)/M1391))</f>
        <v>2.6666666666666665</v>
      </c>
      <c r="S1397" s="156" t="s">
        <v>0</v>
      </c>
    </row>
    <row r="1399" spans="4:19">
      <c r="D1399" s="31" t="s">
        <v>681</v>
      </c>
      <c r="E1399" s="173" t="s">
        <v>36</v>
      </c>
    </row>
    <row r="1401" spans="4:19">
      <c r="F1401" s="982" t="s">
        <v>191</v>
      </c>
      <c r="G1401" s="983"/>
      <c r="H1401" s="983"/>
      <c r="I1401" s="983"/>
      <c r="J1401" s="983"/>
      <c r="K1401" s="995"/>
      <c r="L1401" s="997" t="s">
        <v>192</v>
      </c>
      <c r="M1401" s="999">
        <v>12</v>
      </c>
      <c r="N1401" s="1001" t="s">
        <v>193</v>
      </c>
      <c r="O1401" s="1024"/>
      <c r="P1401" s="8"/>
      <c r="Q1401" s="8"/>
      <c r="R1401" s="11"/>
      <c r="S1401" s="11"/>
    </row>
    <row r="1402" spans="4:19">
      <c r="F1402" s="984"/>
      <c r="G1402" s="985"/>
      <c r="H1402" s="985"/>
      <c r="I1402" s="985"/>
      <c r="J1402" s="985"/>
      <c r="K1402" s="996"/>
      <c r="L1402" s="998"/>
      <c r="M1402" s="1000"/>
      <c r="N1402" s="1002"/>
      <c r="O1402" s="1025"/>
      <c r="P1402" s="8"/>
      <c r="Q1402" s="8"/>
      <c r="R1402" s="11"/>
      <c r="S1402" s="11"/>
    </row>
    <row r="1403" spans="4:19">
      <c r="F1403" s="7"/>
      <c r="G1403" s="7"/>
      <c r="H1403" s="7"/>
      <c r="I1403" s="7"/>
      <c r="J1403" s="7"/>
      <c r="K1403" s="7"/>
      <c r="L1403" s="10"/>
      <c r="M1403" s="7"/>
      <c r="N1403" s="7"/>
      <c r="O1403" s="7"/>
      <c r="P1403" s="7"/>
      <c r="Q1403" s="7"/>
      <c r="R1403" s="11"/>
      <c r="S1403" s="11"/>
    </row>
    <row r="1404" spans="4:19" ht="12.75" customHeight="1">
      <c r="F1404" s="974" t="s">
        <v>194</v>
      </c>
      <c r="G1404" s="975"/>
      <c r="H1404" s="975"/>
      <c r="I1404" s="975"/>
      <c r="J1404" s="976"/>
      <c r="K1404" s="982" t="s">
        <v>259</v>
      </c>
      <c r="L1404" s="983"/>
      <c r="M1404" s="983"/>
      <c r="N1404" s="983"/>
      <c r="O1404" s="983"/>
      <c r="P1404" s="983"/>
      <c r="Q1404" s="995"/>
      <c r="R1404" s="136"/>
      <c r="S1404" s="11"/>
    </row>
    <row r="1405" spans="4:19">
      <c r="F1405" s="10"/>
      <c r="G1405" s="10"/>
      <c r="H1405" s="10"/>
      <c r="I1405" s="10"/>
      <c r="J1405" s="10"/>
      <c r="K1405" s="10"/>
      <c r="L1405" s="10"/>
      <c r="M1405" s="10"/>
      <c r="N1405" s="10"/>
      <c r="O1405" s="10"/>
      <c r="P1405" s="10"/>
      <c r="Q1405" s="10"/>
      <c r="R1405" s="11"/>
      <c r="S1405" s="11"/>
    </row>
    <row r="1406" spans="4:19" ht="12.75" customHeight="1">
      <c r="F1406" s="10"/>
      <c r="G1406" s="10"/>
      <c r="H1406" s="10"/>
      <c r="I1406" s="10"/>
      <c r="J1406" s="10"/>
      <c r="K1406" s="982" t="s">
        <v>1183</v>
      </c>
      <c r="L1406" s="983"/>
      <c r="M1406" s="983"/>
      <c r="N1406" s="983"/>
      <c r="O1406" s="983"/>
      <c r="P1406" s="983"/>
      <c r="Q1406" s="983"/>
      <c r="R1406" s="11"/>
      <c r="S1406" s="11"/>
    </row>
    <row r="1407" spans="4:19">
      <c r="F1407" s="10"/>
      <c r="G1407" s="10"/>
      <c r="H1407" s="10"/>
      <c r="I1407" s="10"/>
      <c r="J1407" s="10"/>
      <c r="K1407" s="984"/>
      <c r="L1407" s="985"/>
      <c r="M1407" s="985"/>
      <c r="N1407" s="985"/>
      <c r="O1407" s="985"/>
      <c r="P1407" s="985"/>
      <c r="Q1407" s="985"/>
      <c r="R1407" s="157">
        <f>(I1383*(2*(K1383*2+M1383*2)/M1401))</f>
        <v>2.6666666666666665</v>
      </c>
      <c r="S1407" s="156" t="s">
        <v>0</v>
      </c>
    </row>
    <row r="1410" spans="3:22">
      <c r="C1410" s="205" t="s">
        <v>664</v>
      </c>
      <c r="D1410" s="476" t="s">
        <v>427</v>
      </c>
      <c r="E1410" s="177"/>
      <c r="F1410" s="177"/>
      <c r="G1410" s="177"/>
      <c r="H1410" s="177"/>
      <c r="I1410" s="177"/>
      <c r="J1410" s="177"/>
      <c r="K1410" s="177"/>
      <c r="L1410" s="177"/>
      <c r="M1410" s="177"/>
      <c r="N1410" s="177"/>
      <c r="O1410" s="177"/>
      <c r="P1410" s="177"/>
      <c r="Q1410" s="177"/>
      <c r="R1410" s="205"/>
      <c r="S1410" s="205"/>
      <c r="T1410" s="177"/>
      <c r="U1410" s="177"/>
      <c r="V1410" s="178"/>
    </row>
    <row r="1411" spans="3:22">
      <c r="D1411" s="174"/>
      <c r="E1411" s="174"/>
      <c r="F1411" s="174"/>
      <c r="G1411" s="174"/>
      <c r="H1411" s="174"/>
      <c r="I1411" s="174"/>
      <c r="J1411" s="174"/>
      <c r="K1411" s="174"/>
      <c r="L1411" s="174"/>
      <c r="M1411" s="174"/>
      <c r="N1411" s="174"/>
      <c r="O1411" s="174"/>
      <c r="P1411" s="174"/>
      <c r="Q1411" s="174"/>
      <c r="R1411" s="205"/>
      <c r="S1411" s="205"/>
      <c r="T1411" s="174"/>
      <c r="U1411" s="174"/>
      <c r="V1411" s="174"/>
    </row>
    <row r="1412" spans="3:22">
      <c r="D1412" s="31" t="s">
        <v>665</v>
      </c>
      <c r="E1412" s="173" t="s">
        <v>21</v>
      </c>
      <c r="F1412" s="86"/>
      <c r="G1412" s="86"/>
      <c r="H1412" s="86"/>
      <c r="I1412" s="86"/>
      <c r="J1412" s="86"/>
      <c r="K1412" s="86"/>
      <c r="L1412" s="86"/>
      <c r="M1412" s="86"/>
      <c r="N1412" s="86"/>
      <c r="O1412" s="86"/>
      <c r="P1412" s="86"/>
      <c r="Q1412" s="86"/>
      <c r="R1412" s="158"/>
      <c r="S1412" s="403"/>
    </row>
    <row r="1413" spans="3:22">
      <c r="D1413" s="31"/>
      <c r="E1413" s="86"/>
      <c r="F1413" s="86"/>
      <c r="G1413" s="86"/>
      <c r="H1413" s="86"/>
      <c r="I1413" s="86"/>
      <c r="J1413" s="86"/>
      <c r="K1413" s="86"/>
      <c r="L1413" s="86"/>
      <c r="M1413" s="86"/>
      <c r="N1413" s="86"/>
      <c r="O1413" s="86"/>
      <c r="P1413" s="86"/>
      <c r="Q1413" s="86"/>
      <c r="R1413" s="158"/>
      <c r="S1413" s="403"/>
    </row>
    <row r="1414" spans="3:22">
      <c r="D1414" s="31"/>
      <c r="E1414" s="974" t="s">
        <v>31</v>
      </c>
      <c r="F1414" s="975"/>
      <c r="G1414" s="975"/>
      <c r="H1414" s="975"/>
      <c r="I1414" s="975"/>
      <c r="J1414" s="975"/>
      <c r="K1414" s="975"/>
      <c r="L1414" s="975"/>
      <c r="M1414" s="975"/>
      <c r="N1414" s="975"/>
      <c r="O1414" s="975"/>
      <c r="P1414" s="975"/>
      <c r="Q1414" s="976"/>
      <c r="R1414" s="160"/>
      <c r="S1414" s="197"/>
    </row>
    <row r="1415" spans="3:22">
      <c r="D1415" s="31"/>
      <c r="E1415" s="974" t="s">
        <v>138</v>
      </c>
      <c r="F1415" s="975"/>
      <c r="G1415" s="975"/>
      <c r="H1415" s="975"/>
      <c r="I1415" s="975"/>
      <c r="J1415" s="975"/>
      <c r="K1415" s="975"/>
      <c r="L1415" s="975"/>
      <c r="M1415" s="975"/>
      <c r="N1415" s="975"/>
      <c r="O1415" s="975"/>
      <c r="P1415" s="975"/>
      <c r="Q1415" s="978"/>
      <c r="R1415" s="157">
        <f>ROUND(I1383*(2*K1383+2*M1383),2)</f>
        <v>16</v>
      </c>
      <c r="S1415" s="156" t="s">
        <v>0</v>
      </c>
    </row>
    <row r="1416" spans="3:22">
      <c r="D1416" s="31"/>
      <c r="E1416" s="123"/>
      <c r="F1416" s="123"/>
      <c r="G1416" s="123"/>
      <c r="H1416" s="123"/>
      <c r="I1416" s="123"/>
      <c r="J1416" s="123"/>
      <c r="K1416" s="123"/>
      <c r="L1416" s="123"/>
      <c r="M1416" s="123"/>
      <c r="N1416" s="123"/>
      <c r="O1416" s="123"/>
      <c r="P1416" s="123"/>
      <c r="Q1416" s="123"/>
      <c r="R1416" s="158"/>
      <c r="S1416" s="403"/>
    </row>
    <row r="1417" spans="3:22">
      <c r="D1417" s="31"/>
      <c r="E1417" s="86"/>
      <c r="F1417" s="86"/>
      <c r="G1417" s="86"/>
      <c r="H1417" s="86"/>
      <c r="I1417" s="86"/>
      <c r="J1417" s="86"/>
      <c r="K1417" s="86"/>
      <c r="L1417" s="86"/>
      <c r="M1417" s="86"/>
      <c r="N1417" s="86"/>
      <c r="O1417" s="86"/>
      <c r="P1417" s="86"/>
      <c r="Q1417" s="86"/>
      <c r="R1417" s="158"/>
      <c r="S1417" s="403"/>
    </row>
    <row r="1418" spans="3:22">
      <c r="D1418" s="31" t="s">
        <v>673</v>
      </c>
      <c r="E1418" s="173" t="s">
        <v>22</v>
      </c>
      <c r="F1418" s="181"/>
      <c r="G1418" s="181"/>
      <c r="H1418" s="181"/>
      <c r="I1418" s="181"/>
      <c r="J1418" s="181"/>
      <c r="K1418" s="181"/>
      <c r="L1418" s="181"/>
      <c r="M1418" s="181"/>
      <c r="N1418" s="181"/>
      <c r="O1418" s="181"/>
      <c r="P1418" s="181"/>
      <c r="Q1418" s="181"/>
      <c r="R1418" s="158"/>
      <c r="S1418" s="403"/>
    </row>
    <row r="1419" spans="3:22">
      <c r="D1419" s="31"/>
      <c r="E1419" s="86"/>
      <c r="F1419" s="86"/>
      <c r="G1419" s="86"/>
      <c r="H1419" s="86"/>
      <c r="I1419" s="86"/>
      <c r="J1419" s="86"/>
      <c r="K1419" s="86"/>
      <c r="L1419" s="86"/>
      <c r="M1419" s="86"/>
      <c r="N1419" s="86"/>
      <c r="O1419" s="86"/>
      <c r="P1419" s="86"/>
      <c r="Q1419" s="86"/>
      <c r="R1419" s="158"/>
      <c r="S1419" s="403"/>
    </row>
    <row r="1420" spans="3:22">
      <c r="D1420" s="31"/>
      <c r="E1420" s="974" t="s">
        <v>32</v>
      </c>
      <c r="F1420" s="975"/>
      <c r="G1420" s="975"/>
      <c r="H1420" s="975"/>
      <c r="I1420" s="975"/>
      <c r="J1420" s="975"/>
      <c r="K1420" s="975"/>
      <c r="L1420" s="975"/>
      <c r="M1420" s="975"/>
      <c r="N1420" s="975"/>
      <c r="O1420" s="975"/>
      <c r="P1420" s="975"/>
      <c r="Q1420" s="976"/>
      <c r="R1420" s="161"/>
      <c r="S1420" s="11"/>
    </row>
    <row r="1421" spans="3:22">
      <c r="D1421" s="31"/>
      <c r="E1421" s="974" t="s">
        <v>139</v>
      </c>
      <c r="F1421" s="975"/>
      <c r="G1421" s="975"/>
      <c r="H1421" s="975"/>
      <c r="I1421" s="975"/>
      <c r="J1421" s="975"/>
      <c r="K1421" s="975"/>
      <c r="L1421" s="975"/>
      <c r="M1421" s="975"/>
      <c r="N1421" s="975"/>
      <c r="O1421" s="975"/>
      <c r="P1421" s="975"/>
      <c r="Q1421" s="978"/>
      <c r="R1421" s="157">
        <f>Q1383</f>
        <v>8</v>
      </c>
      <c r="S1421" s="156" t="s">
        <v>17</v>
      </c>
    </row>
    <row r="1422" spans="3:22">
      <c r="D1422" s="31"/>
      <c r="E1422" s="123"/>
      <c r="F1422" s="123"/>
      <c r="G1422" s="123"/>
      <c r="H1422" s="123"/>
      <c r="I1422" s="123"/>
      <c r="J1422" s="123"/>
      <c r="K1422" s="123"/>
      <c r="L1422" s="123"/>
      <c r="M1422" s="123"/>
      <c r="N1422" s="123"/>
      <c r="O1422" s="123"/>
      <c r="P1422" s="123"/>
      <c r="Q1422" s="123"/>
      <c r="R1422" s="158"/>
      <c r="S1422" s="403"/>
    </row>
    <row r="1423" spans="3:22">
      <c r="D1423" s="31"/>
      <c r="E1423" s="86"/>
      <c r="F1423" s="86"/>
      <c r="G1423" s="86"/>
      <c r="H1423" s="86"/>
      <c r="I1423" s="86"/>
      <c r="J1423" s="86"/>
      <c r="K1423" s="86"/>
      <c r="L1423" s="86"/>
      <c r="M1423" s="86"/>
      <c r="N1423" s="86"/>
      <c r="O1423" s="86"/>
      <c r="P1423" s="86"/>
      <c r="Q1423" s="86"/>
      <c r="R1423" s="158"/>
      <c r="S1423" s="403"/>
    </row>
    <row r="1424" spans="3:22">
      <c r="D1424" s="31" t="s">
        <v>674</v>
      </c>
      <c r="E1424" s="173" t="s">
        <v>23</v>
      </c>
      <c r="F1424" s="86"/>
      <c r="G1424" s="86"/>
      <c r="H1424" s="86"/>
      <c r="I1424" s="86"/>
      <c r="J1424" s="86"/>
      <c r="K1424" s="86"/>
      <c r="L1424" s="86"/>
      <c r="M1424" s="86"/>
      <c r="N1424" s="86"/>
      <c r="O1424" s="86"/>
      <c r="P1424" s="86"/>
      <c r="Q1424" s="86"/>
      <c r="R1424" s="158"/>
      <c r="S1424" s="403"/>
    </row>
    <row r="1425" spans="4:20">
      <c r="D1425" s="31"/>
      <c r="E1425" s="86"/>
      <c r="F1425" s="86"/>
      <c r="G1425" s="86"/>
      <c r="H1425" s="86"/>
      <c r="I1425" s="86"/>
      <c r="J1425" s="86"/>
      <c r="K1425" s="86"/>
      <c r="L1425" s="86"/>
      <c r="M1425" s="86"/>
      <c r="N1425" s="86"/>
      <c r="O1425" s="86"/>
      <c r="P1425" s="86"/>
      <c r="Q1425" s="86"/>
      <c r="R1425" s="158"/>
      <c r="S1425" s="403"/>
    </row>
    <row r="1426" spans="4:20">
      <c r="D1426" s="31"/>
      <c r="E1426" s="986" t="s">
        <v>1356</v>
      </c>
      <c r="F1426" s="987"/>
      <c r="G1426" s="987"/>
      <c r="H1426" s="987"/>
      <c r="I1426" s="987"/>
      <c r="J1426" s="987"/>
      <c r="K1426" s="987"/>
      <c r="L1426" s="987"/>
      <c r="M1426" s="987"/>
      <c r="N1426" s="987"/>
      <c r="O1426" s="987"/>
      <c r="P1426" s="987"/>
      <c r="Q1426" s="988"/>
      <c r="R1426" s="157">
        <f>ROUND((R1421*0.05),2)</f>
        <v>0.4</v>
      </c>
      <c r="S1426" s="156" t="s">
        <v>18</v>
      </c>
    </row>
    <row r="1427" spans="4:20">
      <c r="D1427" s="31"/>
      <c r="E1427" s="86"/>
      <c r="F1427" s="86"/>
      <c r="G1427" s="86"/>
      <c r="H1427" s="86"/>
      <c r="I1427" s="86"/>
      <c r="J1427" s="86"/>
      <c r="K1427" s="86"/>
      <c r="L1427" s="86"/>
      <c r="M1427" s="86"/>
      <c r="N1427" s="86"/>
      <c r="O1427" s="86"/>
      <c r="P1427" s="86"/>
      <c r="Q1427" s="86"/>
      <c r="R1427" s="158"/>
      <c r="S1427" s="403"/>
    </row>
    <row r="1428" spans="4:20">
      <c r="D1428" s="31"/>
      <c r="E1428" s="86"/>
      <c r="F1428" s="86"/>
      <c r="G1428" s="86"/>
      <c r="H1428" s="86"/>
      <c r="I1428" s="86"/>
      <c r="J1428" s="86"/>
      <c r="K1428" s="86"/>
      <c r="L1428" s="86"/>
      <c r="M1428" s="86"/>
      <c r="N1428" s="86"/>
      <c r="O1428" s="86"/>
      <c r="P1428" s="86"/>
      <c r="Q1428" s="86"/>
      <c r="R1428" s="158"/>
      <c r="S1428" s="403"/>
    </row>
    <row r="1429" spans="4:20" ht="24" customHeight="1">
      <c r="D1429" s="31" t="s">
        <v>675</v>
      </c>
      <c r="E1429" s="539" t="s">
        <v>178</v>
      </c>
      <c r="F1429" s="539"/>
      <c r="G1429" s="539"/>
      <c r="H1429" s="539"/>
      <c r="I1429" s="539"/>
      <c r="J1429" s="539"/>
      <c r="K1429" s="539"/>
      <c r="L1429" s="539"/>
      <c r="M1429" s="539"/>
      <c r="N1429" s="539"/>
      <c r="O1429" s="539"/>
      <c r="P1429" s="539"/>
      <c r="Q1429" s="539"/>
      <c r="R1429" s="158"/>
      <c r="S1429" s="403"/>
    </row>
    <row r="1430" spans="4:20">
      <c r="D1430" s="31"/>
      <c r="E1430" s="86"/>
      <c r="F1430" s="86"/>
      <c r="G1430" s="86"/>
      <c r="H1430" s="86"/>
      <c r="I1430" s="86"/>
      <c r="J1430" s="86"/>
      <c r="K1430" s="86"/>
      <c r="L1430" s="86"/>
      <c r="M1430" s="86"/>
      <c r="N1430" s="86"/>
      <c r="O1430" s="86"/>
      <c r="P1430" s="86"/>
      <c r="Q1430" s="86"/>
      <c r="R1430" s="158"/>
      <c r="S1430" s="403"/>
    </row>
    <row r="1431" spans="4:20">
      <c r="D1431" s="31"/>
      <c r="E1431" s="979" t="s">
        <v>177</v>
      </c>
      <c r="F1431" s="980"/>
      <c r="G1431" s="980"/>
      <c r="H1431" s="980"/>
      <c r="I1431" s="980"/>
      <c r="J1431" s="980"/>
      <c r="K1431" s="980"/>
      <c r="L1431" s="980"/>
      <c r="M1431" s="980"/>
      <c r="N1431" s="980"/>
      <c r="O1431" s="980"/>
      <c r="P1431" s="980"/>
      <c r="Q1431" s="981"/>
      <c r="R1431" s="157">
        <f>($I$431*10)*T1431</f>
        <v>56</v>
      </c>
      <c r="S1431" s="156" t="s">
        <v>179</v>
      </c>
      <c r="T1431" s="170">
        <v>0.8</v>
      </c>
    </row>
    <row r="1432" spans="4:20">
      <c r="D1432" s="31"/>
      <c r="E1432" s="86"/>
      <c r="F1432" s="86"/>
      <c r="G1432" s="86"/>
      <c r="H1432" s="86"/>
      <c r="I1432" s="86"/>
      <c r="J1432" s="86"/>
      <c r="K1432" s="86"/>
      <c r="L1432" s="86"/>
      <c r="M1432" s="86"/>
      <c r="N1432" s="86"/>
      <c r="O1432" s="86"/>
      <c r="P1432" s="86"/>
      <c r="Q1432" s="86"/>
      <c r="R1432" s="158"/>
      <c r="S1432" s="403"/>
    </row>
    <row r="1433" spans="4:20">
      <c r="D1433" s="31"/>
      <c r="E1433" s="86"/>
      <c r="F1433" s="86"/>
      <c r="G1433" s="86"/>
      <c r="H1433" s="86"/>
      <c r="I1433" s="86"/>
      <c r="J1433" s="86"/>
      <c r="K1433" s="86"/>
      <c r="L1433" s="86"/>
      <c r="M1433" s="86"/>
      <c r="N1433" s="86"/>
      <c r="O1433" s="86"/>
      <c r="P1433" s="86"/>
      <c r="Q1433" s="86"/>
      <c r="R1433" s="158"/>
      <c r="S1433" s="403"/>
    </row>
    <row r="1434" spans="4:20" ht="24.75" customHeight="1">
      <c r="D1434" s="31" t="s">
        <v>676</v>
      </c>
      <c r="E1434" s="539" t="s">
        <v>178</v>
      </c>
      <c r="F1434" s="539"/>
      <c r="G1434" s="539"/>
      <c r="H1434" s="539"/>
      <c r="I1434" s="539"/>
      <c r="J1434" s="539"/>
      <c r="K1434" s="539"/>
      <c r="L1434" s="539"/>
      <c r="M1434" s="539"/>
      <c r="N1434" s="539"/>
      <c r="O1434" s="539"/>
      <c r="P1434" s="539"/>
      <c r="Q1434" s="539"/>
      <c r="R1434" s="158"/>
      <c r="S1434" s="403"/>
    </row>
    <row r="1435" spans="4:20">
      <c r="D1435" s="31"/>
      <c r="E1435" s="86"/>
      <c r="F1435" s="86"/>
      <c r="G1435" s="86"/>
      <c r="H1435" s="86"/>
      <c r="I1435" s="86"/>
      <c r="J1435" s="86"/>
      <c r="K1435" s="86"/>
      <c r="L1435" s="86"/>
      <c r="M1435" s="86"/>
      <c r="N1435" s="86"/>
      <c r="O1435" s="86"/>
      <c r="P1435" s="86"/>
      <c r="Q1435" s="86"/>
      <c r="R1435" s="158"/>
      <c r="S1435" s="403"/>
    </row>
    <row r="1436" spans="4:20">
      <c r="D1436" s="31"/>
      <c r="E1436" s="979" t="s">
        <v>177</v>
      </c>
      <c r="F1436" s="980"/>
      <c r="G1436" s="980"/>
      <c r="H1436" s="980"/>
      <c r="I1436" s="980"/>
      <c r="J1436" s="980"/>
      <c r="K1436" s="980"/>
      <c r="L1436" s="980"/>
      <c r="M1436" s="980"/>
      <c r="N1436" s="980"/>
      <c r="O1436" s="980"/>
      <c r="P1436" s="980"/>
      <c r="Q1436" s="981"/>
      <c r="R1436" s="157">
        <f>($I$431*10)*T1436</f>
        <v>14</v>
      </c>
      <c r="S1436" s="156" t="s">
        <v>180</v>
      </c>
      <c r="T1436" s="170">
        <v>0.2</v>
      </c>
    </row>
    <row r="1437" spans="4:20">
      <c r="D1437" s="31"/>
      <c r="E1437" s="86"/>
      <c r="F1437" s="86"/>
      <c r="G1437" s="86"/>
      <c r="H1437" s="86"/>
      <c r="I1437" s="86"/>
      <c r="J1437" s="86"/>
      <c r="K1437" s="86"/>
      <c r="L1437" s="86"/>
      <c r="M1437" s="86"/>
      <c r="N1437" s="86"/>
      <c r="O1437" s="86"/>
      <c r="P1437" s="86"/>
      <c r="Q1437" s="86"/>
      <c r="R1437" s="158"/>
      <c r="S1437" s="403"/>
    </row>
    <row r="1438" spans="4:20">
      <c r="D1438" s="31"/>
      <c r="E1438" s="86"/>
      <c r="F1438" s="86"/>
      <c r="G1438" s="86"/>
      <c r="H1438" s="86"/>
      <c r="I1438" s="86"/>
      <c r="J1438" s="86"/>
      <c r="K1438" s="86"/>
      <c r="L1438" s="86"/>
      <c r="M1438" s="86"/>
      <c r="N1438" s="86"/>
      <c r="O1438" s="86"/>
      <c r="P1438" s="86"/>
      <c r="Q1438" s="86"/>
      <c r="R1438" s="158"/>
      <c r="S1438" s="403"/>
    </row>
    <row r="1439" spans="4:20">
      <c r="D1439" s="31" t="s">
        <v>677</v>
      </c>
      <c r="E1439" s="173" t="s">
        <v>1423</v>
      </c>
      <c r="F1439" s="86"/>
      <c r="G1439" s="86"/>
      <c r="H1439" s="86"/>
      <c r="I1439" s="86"/>
      <c r="J1439" s="86"/>
      <c r="K1439" s="86"/>
      <c r="L1439" s="86"/>
      <c r="M1439" s="86"/>
      <c r="N1439" s="86"/>
      <c r="O1439" s="86"/>
      <c r="P1439" s="86"/>
      <c r="Q1439" s="86"/>
      <c r="R1439" s="158"/>
      <c r="S1439" s="403"/>
    </row>
    <row r="1440" spans="4:20">
      <c r="D1440" s="31"/>
      <c r="E1440" s="86"/>
      <c r="F1440" s="86"/>
      <c r="G1440" s="86"/>
      <c r="H1440" s="86"/>
      <c r="I1440" s="86"/>
      <c r="J1440" s="86"/>
      <c r="K1440" s="86"/>
      <c r="L1440" s="86"/>
      <c r="M1440" s="86"/>
      <c r="N1440" s="86"/>
      <c r="O1440" s="86"/>
      <c r="P1440" s="86"/>
      <c r="Q1440" s="86"/>
      <c r="R1440" s="403"/>
    </row>
    <row r="1441" spans="4:19">
      <c r="D1441" s="31"/>
      <c r="E1441" s="974" t="s">
        <v>1400</v>
      </c>
      <c r="F1441" s="975"/>
      <c r="G1441" s="975"/>
      <c r="H1441" s="975"/>
      <c r="I1441" s="975"/>
      <c r="J1441" s="975"/>
      <c r="K1441" s="975"/>
      <c r="L1441" s="975"/>
      <c r="M1441" s="975"/>
      <c r="N1441" s="975"/>
      <c r="O1441" s="975"/>
      <c r="P1441" s="975"/>
      <c r="Q1441" s="976"/>
      <c r="R1441" s="157">
        <f>Q1383*O1383</f>
        <v>12</v>
      </c>
      <c r="S1441" s="156" t="s">
        <v>18</v>
      </c>
    </row>
    <row r="1442" spans="4:19">
      <c r="D1442" s="31"/>
      <c r="E1442" s="974"/>
      <c r="F1442" s="975"/>
      <c r="G1442" s="975"/>
      <c r="H1442" s="975"/>
      <c r="I1442" s="975"/>
      <c r="J1442" s="975"/>
      <c r="K1442" s="975"/>
      <c r="L1442" s="975"/>
      <c r="M1442" s="975"/>
      <c r="N1442" s="975"/>
      <c r="O1442" s="975"/>
      <c r="P1442" s="975"/>
      <c r="Q1442" s="975"/>
    </row>
    <row r="1443" spans="4:19">
      <c r="D1443" s="31"/>
      <c r="E1443" s="86"/>
      <c r="F1443" s="86"/>
      <c r="G1443" s="86"/>
      <c r="H1443" s="86"/>
      <c r="I1443" s="86"/>
      <c r="J1443" s="86"/>
      <c r="K1443" s="86"/>
      <c r="L1443" s="86"/>
      <c r="M1443" s="86"/>
      <c r="N1443" s="86"/>
      <c r="O1443" s="86"/>
      <c r="P1443" s="86"/>
      <c r="Q1443" s="86"/>
      <c r="R1443" s="158"/>
      <c r="S1443" s="403"/>
    </row>
    <row r="1444" spans="4:19">
      <c r="D1444" s="31" t="s">
        <v>678</v>
      </c>
      <c r="E1444" s="173" t="s">
        <v>96</v>
      </c>
      <c r="F1444" s="86"/>
      <c r="G1444" s="86"/>
      <c r="H1444" s="86"/>
      <c r="I1444" s="86"/>
      <c r="J1444" s="86"/>
      <c r="K1444" s="86"/>
      <c r="L1444" s="86"/>
      <c r="M1444" s="86"/>
      <c r="N1444" s="86"/>
      <c r="O1444" s="86"/>
      <c r="P1444" s="86"/>
      <c r="Q1444" s="86"/>
      <c r="R1444" s="158"/>
      <c r="S1444" s="403"/>
    </row>
    <row r="1445" spans="4:19">
      <c r="D1445" s="31"/>
      <c r="E1445" s="86"/>
      <c r="F1445" s="86"/>
      <c r="G1445" s="86"/>
      <c r="H1445" s="86"/>
      <c r="I1445" s="86"/>
      <c r="J1445" s="86"/>
      <c r="K1445" s="86"/>
      <c r="L1445" s="86"/>
      <c r="M1445" s="86"/>
      <c r="N1445" s="86"/>
      <c r="O1445" s="86"/>
      <c r="P1445" s="86"/>
      <c r="Q1445" s="86"/>
      <c r="R1445" s="158"/>
      <c r="S1445" s="403"/>
    </row>
    <row r="1446" spans="4:19">
      <c r="D1446" s="31"/>
      <c r="E1446" s="974" t="s">
        <v>34</v>
      </c>
      <c r="F1446" s="975"/>
      <c r="G1446" s="975"/>
      <c r="H1446" s="975"/>
      <c r="I1446" s="975"/>
      <c r="J1446" s="975"/>
      <c r="K1446" s="975"/>
      <c r="L1446" s="975"/>
      <c r="M1446" s="975"/>
      <c r="N1446" s="975"/>
      <c r="O1446" s="975"/>
      <c r="P1446" s="975"/>
      <c r="Q1446" s="976"/>
      <c r="R1446" s="156"/>
      <c r="S1446" s="11"/>
    </row>
    <row r="1447" spans="4:19">
      <c r="D1447" s="31"/>
      <c r="E1447" s="974" t="s">
        <v>140</v>
      </c>
      <c r="F1447" s="975"/>
      <c r="G1447" s="975"/>
      <c r="H1447" s="975"/>
      <c r="I1447" s="975"/>
      <c r="J1447" s="975"/>
      <c r="K1447" s="975"/>
      <c r="L1447" s="975"/>
      <c r="M1447" s="975"/>
      <c r="N1447" s="975"/>
      <c r="O1447" s="975"/>
      <c r="P1447" s="975"/>
      <c r="Q1447" s="978"/>
      <c r="R1447" s="157">
        <f>Q1383*0.15</f>
        <v>1.2</v>
      </c>
      <c r="S1447" s="156" t="s">
        <v>18</v>
      </c>
    </row>
    <row r="1448" spans="4:19">
      <c r="D1448" s="31"/>
      <c r="E1448" s="86"/>
      <c r="F1448" s="86"/>
      <c r="G1448" s="86"/>
      <c r="H1448" s="86"/>
      <c r="I1448" s="86"/>
      <c r="J1448" s="86"/>
      <c r="K1448" s="86"/>
      <c r="L1448" s="86"/>
      <c r="M1448" s="86"/>
      <c r="N1448" s="86"/>
      <c r="O1448" s="86"/>
      <c r="P1448" s="86"/>
      <c r="Q1448" s="86"/>
      <c r="R1448" s="158"/>
      <c r="S1448" s="403"/>
    </row>
    <row r="1449" spans="4:19">
      <c r="D1449" s="31"/>
      <c r="E1449" s="86"/>
      <c r="F1449" s="86"/>
      <c r="G1449" s="86"/>
      <c r="H1449" s="86"/>
      <c r="I1449" s="86"/>
      <c r="J1449" s="86"/>
      <c r="K1449" s="86"/>
      <c r="L1449" s="86"/>
      <c r="M1449" s="86"/>
      <c r="N1449" s="86"/>
      <c r="O1449" s="86"/>
      <c r="P1449" s="86"/>
      <c r="Q1449" s="86"/>
      <c r="R1449" s="158"/>
      <c r="S1449" s="403"/>
    </row>
    <row r="1450" spans="4:19">
      <c r="D1450" s="31" t="s">
        <v>679</v>
      </c>
      <c r="E1450" s="173" t="s">
        <v>24</v>
      </c>
      <c r="F1450" s="86"/>
      <c r="G1450" s="86"/>
      <c r="H1450" s="86"/>
      <c r="I1450" s="86"/>
      <c r="J1450" s="86"/>
      <c r="K1450" s="86"/>
      <c r="L1450" s="86"/>
      <c r="M1450" s="86"/>
      <c r="N1450" s="86"/>
      <c r="O1450" s="86"/>
      <c r="P1450" s="86"/>
      <c r="Q1450" s="86"/>
      <c r="R1450" s="158"/>
      <c r="S1450" s="403"/>
    </row>
    <row r="1451" spans="4:19">
      <c r="D1451" s="31"/>
      <c r="E1451" s="86"/>
      <c r="F1451" s="86"/>
      <c r="G1451" s="86"/>
      <c r="H1451" s="86"/>
      <c r="I1451" s="86"/>
      <c r="J1451" s="86"/>
      <c r="K1451" s="86"/>
      <c r="L1451" s="86"/>
      <c r="M1451" s="86"/>
      <c r="N1451" s="86"/>
      <c r="O1451" s="86"/>
      <c r="P1451" s="86"/>
      <c r="Q1451" s="86"/>
      <c r="R1451" s="158"/>
      <c r="S1451" s="403"/>
    </row>
    <row r="1452" spans="4:19">
      <c r="D1452" s="31"/>
      <c r="E1452" s="979" t="s">
        <v>141</v>
      </c>
      <c r="F1452" s="980"/>
      <c r="G1452" s="980"/>
      <c r="H1452" s="980"/>
      <c r="I1452" s="980"/>
      <c r="J1452" s="980"/>
      <c r="K1452" s="980"/>
      <c r="L1452" s="980"/>
      <c r="M1452" s="980"/>
      <c r="N1452" s="980"/>
      <c r="O1452" s="980"/>
      <c r="P1452" s="980"/>
      <c r="Q1452" s="981"/>
      <c r="R1452" s="159">
        <f>Q1383*1</f>
        <v>8</v>
      </c>
      <c r="S1452" s="498" t="s">
        <v>17</v>
      </c>
    </row>
    <row r="1453" spans="4:19">
      <c r="D1453" s="31"/>
      <c r="E1453" s="86"/>
      <c r="F1453" s="86"/>
      <c r="G1453" s="86"/>
      <c r="H1453" s="86"/>
      <c r="I1453" s="86"/>
      <c r="J1453" s="86"/>
      <c r="K1453" s="86"/>
      <c r="L1453" s="86"/>
      <c r="M1453" s="86"/>
      <c r="N1453" s="86"/>
      <c r="O1453" s="86"/>
      <c r="P1453" s="86"/>
      <c r="Q1453" s="86"/>
      <c r="R1453" s="158"/>
      <c r="S1453" s="403"/>
    </row>
    <row r="1454" spans="4:19">
      <c r="D1454" s="31"/>
      <c r="E1454" s="86"/>
      <c r="F1454" s="86"/>
      <c r="G1454" s="86"/>
      <c r="H1454" s="86"/>
      <c r="I1454" s="86"/>
      <c r="J1454" s="86"/>
      <c r="K1454" s="86"/>
      <c r="L1454" s="86"/>
      <c r="M1454" s="86"/>
      <c r="N1454" s="86"/>
      <c r="O1454" s="86"/>
      <c r="P1454" s="86"/>
      <c r="Q1454" s="86"/>
      <c r="R1454" s="158"/>
      <c r="S1454" s="403"/>
    </row>
    <row r="1455" spans="4:19">
      <c r="D1455" s="31" t="s">
        <v>680</v>
      </c>
      <c r="E1455" s="173" t="s">
        <v>353</v>
      </c>
      <c r="F1455" s="86"/>
      <c r="G1455" s="86"/>
      <c r="H1455" s="86"/>
      <c r="I1455" s="86"/>
      <c r="J1455" s="86"/>
      <c r="K1455" s="86"/>
      <c r="L1455" s="86"/>
      <c r="M1455" s="86"/>
      <c r="N1455" s="86"/>
      <c r="O1455" s="86"/>
      <c r="P1455" s="86"/>
      <c r="Q1455" s="86"/>
      <c r="R1455" s="158"/>
      <c r="S1455" s="403"/>
    </row>
    <row r="1456" spans="4:19">
      <c r="D1456" s="31"/>
      <c r="E1456" s="86"/>
      <c r="F1456" s="86"/>
      <c r="G1456" s="86"/>
      <c r="H1456" s="86"/>
      <c r="I1456" s="86"/>
      <c r="J1456" s="86"/>
      <c r="K1456" s="86"/>
      <c r="L1456" s="86"/>
      <c r="M1456" s="86"/>
      <c r="N1456" s="86"/>
      <c r="O1456" s="86"/>
      <c r="P1456" s="86"/>
      <c r="Q1456" s="86"/>
      <c r="R1456" s="158"/>
      <c r="S1456" s="403"/>
    </row>
    <row r="1457" spans="3:23">
      <c r="D1457" s="31"/>
      <c r="E1457" s="974" t="s">
        <v>35</v>
      </c>
      <c r="F1457" s="975"/>
      <c r="G1457" s="975"/>
      <c r="H1457" s="975"/>
      <c r="I1457" s="975"/>
      <c r="J1457" s="975"/>
      <c r="K1457" s="975"/>
      <c r="L1457" s="975"/>
      <c r="M1457" s="975"/>
      <c r="N1457" s="975"/>
      <c r="O1457" s="975"/>
      <c r="P1457" s="975"/>
      <c r="Q1457" s="976"/>
      <c r="R1457" s="161"/>
      <c r="S1457" s="11"/>
    </row>
    <row r="1458" spans="3:23">
      <c r="D1458" s="31"/>
      <c r="E1458" s="974" t="s">
        <v>354</v>
      </c>
      <c r="F1458" s="975"/>
      <c r="G1458" s="975"/>
      <c r="H1458" s="975"/>
      <c r="I1458" s="975"/>
      <c r="J1458" s="975"/>
      <c r="K1458" s="975"/>
      <c r="L1458" s="975"/>
      <c r="M1458" s="975"/>
      <c r="N1458" s="975"/>
      <c r="O1458" s="975"/>
      <c r="P1458" s="975"/>
      <c r="Q1458" s="978"/>
      <c r="R1458" s="157">
        <f>Q1383*0.05</f>
        <v>0.4</v>
      </c>
      <c r="S1458" s="156" t="s">
        <v>18</v>
      </c>
    </row>
    <row r="1461" spans="3:23">
      <c r="C1461" s="205" t="s">
        <v>682</v>
      </c>
      <c r="D1461" s="176" t="s">
        <v>1140</v>
      </c>
      <c r="E1461" s="177"/>
      <c r="F1461" s="177"/>
      <c r="G1461" s="177"/>
      <c r="H1461" s="177"/>
      <c r="I1461" s="177"/>
      <c r="J1461" s="177"/>
      <c r="K1461" s="177"/>
      <c r="L1461" s="177"/>
      <c r="M1461" s="177"/>
      <c r="N1461" s="177"/>
      <c r="O1461" s="177"/>
      <c r="P1461" s="177"/>
      <c r="Q1461" s="177"/>
      <c r="R1461" s="205"/>
      <c r="S1461" s="205"/>
      <c r="T1461" s="177"/>
      <c r="U1461" s="177"/>
      <c r="V1461" s="178"/>
    </row>
    <row r="1462" spans="3:23">
      <c r="D1462" s="174"/>
      <c r="E1462" s="174"/>
      <c r="F1462" s="174"/>
      <c r="G1462" s="174"/>
      <c r="H1462" s="174"/>
      <c r="I1462" s="174"/>
      <c r="J1462" s="174"/>
      <c r="K1462" s="174"/>
      <c r="L1462" s="174"/>
      <c r="M1462" s="174"/>
      <c r="N1462" s="174"/>
      <c r="O1462" s="174"/>
      <c r="P1462" s="174"/>
      <c r="Q1462" s="174"/>
      <c r="R1462" s="205"/>
      <c r="S1462" s="501"/>
      <c r="T1462" s="174"/>
      <c r="U1462" s="174"/>
      <c r="V1462" s="174"/>
    </row>
    <row r="1463" spans="3:23">
      <c r="D1463" s="31" t="s">
        <v>683</v>
      </c>
      <c r="E1463" s="173" t="s">
        <v>185</v>
      </c>
      <c r="R1463" s="157">
        <f>1*1.5</f>
        <v>1.5</v>
      </c>
      <c r="S1463" s="156" t="s">
        <v>0</v>
      </c>
      <c r="U1463" s="512" t="s">
        <v>822</v>
      </c>
      <c r="V1463" s="513">
        <v>0.5</v>
      </c>
      <c r="W1463" s="514" t="s">
        <v>0</v>
      </c>
    </row>
    <row r="1464" spans="3:23">
      <c r="D1464" s="31" t="s">
        <v>684</v>
      </c>
      <c r="E1464" s="173" t="s">
        <v>355</v>
      </c>
      <c r="R1464" s="157">
        <f>1</f>
        <v>1</v>
      </c>
      <c r="S1464" s="156" t="s">
        <v>987</v>
      </c>
      <c r="U1464" s="515" t="s">
        <v>858</v>
      </c>
      <c r="V1464" s="156">
        <v>0.5</v>
      </c>
      <c r="W1464" s="516" t="s">
        <v>0</v>
      </c>
    </row>
    <row r="1465" spans="3:23">
      <c r="D1465" s="31" t="s">
        <v>685</v>
      </c>
      <c r="E1465" s="173" t="s">
        <v>168</v>
      </c>
      <c r="R1465" s="157">
        <f>1</f>
        <v>1</v>
      </c>
      <c r="S1465" s="156" t="s">
        <v>987</v>
      </c>
      <c r="U1465" s="517" t="s">
        <v>1167</v>
      </c>
      <c r="V1465" s="518">
        <v>0.15</v>
      </c>
      <c r="W1465" s="519" t="s">
        <v>0</v>
      </c>
    </row>
    <row r="1466" spans="3:23">
      <c r="D1466" s="31" t="s">
        <v>686</v>
      </c>
      <c r="E1466" s="173" t="s">
        <v>119</v>
      </c>
      <c r="R1466" s="157">
        <f>1*(V1463*V1464*V1465)</f>
        <v>3.7499999999999999E-2</v>
      </c>
      <c r="S1466" s="156" t="s">
        <v>18</v>
      </c>
    </row>
    <row r="1467" spans="3:23">
      <c r="D1467" s="31" t="s">
        <v>687</v>
      </c>
      <c r="E1467" s="173" t="s">
        <v>120</v>
      </c>
      <c r="R1467" s="157">
        <f>((V1463*2+V1464*2)*V1465)*1</f>
        <v>0.3</v>
      </c>
      <c r="S1467" s="156" t="s">
        <v>17</v>
      </c>
    </row>
    <row r="1468" spans="3:23">
      <c r="D1468" s="31" t="s">
        <v>688</v>
      </c>
      <c r="E1468" s="173" t="s">
        <v>117</v>
      </c>
      <c r="R1468" s="157">
        <f>R1467*80</f>
        <v>24</v>
      </c>
      <c r="S1468" s="156" t="s">
        <v>130</v>
      </c>
    </row>
    <row r="1469" spans="3:23">
      <c r="D1469" s="31"/>
      <c r="E1469" s="173"/>
      <c r="R1469" s="158"/>
      <c r="S1469" s="158"/>
    </row>
    <row r="1470" spans="3:23">
      <c r="C1470" s="205" t="s">
        <v>689</v>
      </c>
      <c r="D1470" s="176" t="s">
        <v>38</v>
      </c>
      <c r="E1470" s="177"/>
      <c r="F1470" s="177"/>
      <c r="G1470" s="177"/>
      <c r="H1470" s="177"/>
      <c r="I1470" s="177"/>
      <c r="J1470" s="177"/>
      <c r="K1470" s="177"/>
      <c r="L1470" s="177"/>
      <c r="M1470" s="177"/>
      <c r="N1470" s="177"/>
      <c r="O1470" s="177"/>
      <c r="P1470" s="177"/>
      <c r="Q1470" s="177"/>
      <c r="R1470" s="205"/>
      <c r="S1470" s="205"/>
    </row>
    <row r="1471" spans="3:23">
      <c r="D1471" s="174"/>
      <c r="E1471" s="174"/>
      <c r="F1471" s="174"/>
      <c r="G1471" s="174"/>
      <c r="H1471" s="174"/>
      <c r="I1471" s="174"/>
      <c r="J1471" s="174"/>
      <c r="K1471" s="174"/>
      <c r="L1471" s="174"/>
      <c r="M1471" s="174"/>
      <c r="N1471" s="174"/>
      <c r="O1471" s="174"/>
      <c r="P1471" s="174"/>
      <c r="Q1471" s="174"/>
      <c r="R1471" s="205"/>
      <c r="S1471" s="205"/>
    </row>
    <row r="1472" spans="3:23">
      <c r="D1472" s="31" t="s">
        <v>690</v>
      </c>
      <c r="E1472" s="173" t="s">
        <v>186</v>
      </c>
      <c r="R1472" s="157">
        <v>2</v>
      </c>
      <c r="S1472" s="403" t="s">
        <v>987</v>
      </c>
    </row>
    <row r="1473" spans="3:22">
      <c r="D1473" s="31"/>
      <c r="E1473" s="173"/>
      <c r="R1473" s="158"/>
      <c r="S1473" s="158"/>
    </row>
    <row r="1475" spans="3:22">
      <c r="C1475" s="205" t="s">
        <v>691</v>
      </c>
      <c r="D1475" s="176" t="s">
        <v>19</v>
      </c>
      <c r="E1475" s="477"/>
      <c r="F1475" s="477"/>
      <c r="G1475" s="477"/>
      <c r="H1475" s="477"/>
      <c r="I1475" s="477"/>
      <c r="J1475" s="477"/>
      <c r="K1475" s="477"/>
      <c r="L1475" s="477"/>
      <c r="M1475" s="477"/>
      <c r="N1475" s="477"/>
      <c r="O1475" s="477"/>
      <c r="P1475" s="477"/>
      <c r="Q1475" s="477"/>
      <c r="R1475" s="477"/>
      <c r="S1475" s="477"/>
      <c r="T1475" s="477"/>
      <c r="U1475" s="477"/>
      <c r="V1475" s="504"/>
    </row>
    <row r="1476" spans="3:22">
      <c r="D1476" s="444"/>
      <c r="E1476" s="444"/>
      <c r="F1476" s="444"/>
      <c r="G1476" s="444"/>
      <c r="H1476" s="444"/>
      <c r="I1476" s="444"/>
      <c r="J1476" s="444"/>
      <c r="K1476" s="444"/>
      <c r="L1476" s="444"/>
      <c r="M1476" s="444"/>
      <c r="N1476" s="10"/>
      <c r="O1476" s="444"/>
      <c r="P1476" s="444"/>
      <c r="Q1476" s="444"/>
      <c r="R1476" s="136"/>
      <c r="S1476" s="136"/>
      <c r="T1476" s="444"/>
      <c r="U1476" s="444"/>
      <c r="V1476" s="444"/>
    </row>
    <row r="1477" spans="3:22">
      <c r="D1477" s="1020" t="s">
        <v>102</v>
      </c>
      <c r="E1477" s="1020"/>
      <c r="F1477" s="1020"/>
      <c r="G1477" s="1020"/>
      <c r="H1477" s="1020"/>
      <c r="I1477" s="1020"/>
      <c r="J1477" s="1020"/>
      <c r="K1477" s="1020"/>
      <c r="L1477" s="1020"/>
      <c r="M1477" s="1020"/>
      <c r="N1477" s="14"/>
      <c r="O1477" s="524"/>
      <c r="P1477" s="524"/>
      <c r="Q1477" s="524"/>
      <c r="R1477" s="524"/>
      <c r="S1477" s="524"/>
      <c r="T1477" s="524"/>
      <c r="U1477" s="524"/>
      <c r="V1477" s="524"/>
    </row>
    <row r="1478" spans="3:22">
      <c r="D1478" s="1003" t="s">
        <v>103</v>
      </c>
      <c r="E1478" s="1003"/>
      <c r="F1478" s="1003"/>
      <c r="G1478" s="1003"/>
      <c r="H1478" s="1003"/>
      <c r="I1478" s="1003" t="s">
        <v>1</v>
      </c>
      <c r="J1478" s="1003"/>
      <c r="K1478" s="1003"/>
      <c r="L1478" s="1003"/>
      <c r="M1478" s="1003"/>
      <c r="N1478" s="15"/>
      <c r="O1478" s="1019"/>
      <c r="P1478" s="1019"/>
      <c r="Q1478" s="1019"/>
      <c r="R1478" s="1019"/>
      <c r="S1478" s="642"/>
      <c r="T1478" s="642"/>
      <c r="U1478" s="642"/>
      <c r="V1478" s="642"/>
    </row>
    <row r="1479" spans="3:22">
      <c r="D1479" s="1006"/>
      <c r="E1479" s="1006"/>
      <c r="F1479" s="1006"/>
      <c r="G1479" s="1006"/>
      <c r="H1479" s="1006"/>
      <c r="I1479" s="1006"/>
      <c r="J1479" s="1006"/>
      <c r="K1479" s="1006"/>
      <c r="L1479" s="1006"/>
      <c r="M1479" s="1006"/>
      <c r="N1479" s="23"/>
      <c r="O1479" s="1016"/>
      <c r="P1479" s="1016"/>
      <c r="Q1479" s="1017"/>
      <c r="R1479" s="1017"/>
      <c r="S1479" s="1014"/>
      <c r="T1479" s="1014"/>
      <c r="U1479" s="1015"/>
      <c r="V1479" s="1015"/>
    </row>
    <row r="1480" spans="3:22">
      <c r="D1480" s="544">
        <v>1</v>
      </c>
      <c r="E1480" s="542" t="s">
        <v>108</v>
      </c>
      <c r="F1480" s="993" t="s">
        <v>109</v>
      </c>
      <c r="G1480" s="993"/>
      <c r="H1480" s="993"/>
      <c r="I1480" s="544">
        <f>$I$1383*D1480</f>
        <v>2</v>
      </c>
      <c r="J1480" s="542" t="s">
        <v>108</v>
      </c>
      <c r="K1480" s="993" t="s">
        <v>109</v>
      </c>
      <c r="L1480" s="993"/>
      <c r="M1480" s="993"/>
      <c r="N1480" s="20"/>
      <c r="O1480" s="135"/>
      <c r="P1480" s="135"/>
      <c r="Q1480" s="135"/>
      <c r="R1480" s="135"/>
      <c r="S1480" s="135"/>
      <c r="T1480" s="135"/>
      <c r="U1480" s="135"/>
      <c r="V1480" s="135"/>
    </row>
    <row r="1481" spans="3:22">
      <c r="D1481" s="544">
        <v>2</v>
      </c>
      <c r="E1481" s="542" t="s">
        <v>108</v>
      </c>
      <c r="F1481" s="993" t="s">
        <v>110</v>
      </c>
      <c r="G1481" s="993"/>
      <c r="H1481" s="993"/>
      <c r="I1481" s="544">
        <f t="shared" ref="I1481:I1483" si="22">$I$1383*D1481</f>
        <v>4</v>
      </c>
      <c r="J1481" s="542" t="s">
        <v>108</v>
      </c>
      <c r="K1481" s="993" t="s">
        <v>110</v>
      </c>
      <c r="L1481" s="993"/>
      <c r="M1481" s="993"/>
      <c r="N1481" s="20"/>
      <c r="O1481" s="524"/>
      <c r="P1481" s="524"/>
      <c r="Q1481" s="524"/>
      <c r="R1481" s="524"/>
      <c r="S1481" s="524"/>
      <c r="T1481" s="524"/>
      <c r="U1481" s="524"/>
      <c r="V1481" s="524"/>
    </row>
    <row r="1482" spans="3:22">
      <c r="D1482" s="544">
        <v>8</v>
      </c>
      <c r="E1482" s="542" t="s">
        <v>108</v>
      </c>
      <c r="F1482" s="993" t="s">
        <v>113</v>
      </c>
      <c r="G1482" s="993"/>
      <c r="H1482" s="993"/>
      <c r="I1482" s="544">
        <f t="shared" si="22"/>
        <v>16</v>
      </c>
      <c r="J1482" s="542" t="s">
        <v>108</v>
      </c>
      <c r="K1482" s="993" t="s">
        <v>113</v>
      </c>
      <c r="L1482" s="993"/>
      <c r="M1482" s="993"/>
      <c r="N1482" s="21"/>
      <c r="O1482" s="133"/>
      <c r="P1482" s="405"/>
      <c r="Q1482" s="994"/>
      <c r="R1482" s="994"/>
      <c r="S1482" s="134"/>
      <c r="T1482" s="405"/>
      <c r="U1482" s="994"/>
      <c r="V1482" s="994"/>
    </row>
    <row r="1483" spans="3:22">
      <c r="D1483" s="544">
        <v>8</v>
      </c>
      <c r="E1483" s="542" t="s">
        <v>108</v>
      </c>
      <c r="F1483" s="993" t="s">
        <v>114</v>
      </c>
      <c r="G1483" s="993"/>
      <c r="H1483" s="993"/>
      <c r="I1483" s="544">
        <f t="shared" si="22"/>
        <v>16</v>
      </c>
      <c r="J1483" s="542" t="s">
        <v>108</v>
      </c>
      <c r="K1483" s="993" t="s">
        <v>114</v>
      </c>
      <c r="L1483" s="993"/>
      <c r="M1483" s="993"/>
      <c r="N1483" s="21"/>
      <c r="O1483" s="133"/>
      <c r="P1483" s="405"/>
      <c r="Q1483" s="994"/>
      <c r="R1483" s="994"/>
      <c r="S1483" s="134"/>
      <c r="T1483" s="405"/>
      <c r="U1483" s="994"/>
      <c r="V1483" s="994"/>
    </row>
    <row r="1484" spans="3:22">
      <c r="D1484" s="544">
        <v>4</v>
      </c>
      <c r="E1484" s="542" t="s">
        <v>108</v>
      </c>
      <c r="F1484" s="1005" t="s">
        <v>243</v>
      </c>
      <c r="G1484" s="1006"/>
      <c r="H1484" s="1007"/>
      <c r="I1484" s="544">
        <f>D1484*1</f>
        <v>4</v>
      </c>
      <c r="J1484" s="543" t="s">
        <v>108</v>
      </c>
      <c r="K1484" s="1008" t="s">
        <v>243</v>
      </c>
      <c r="L1484" s="1009"/>
      <c r="M1484" s="1010"/>
      <c r="N1484" s="21"/>
      <c r="O1484" s="133"/>
      <c r="P1484" s="405"/>
      <c r="Q1484" s="994"/>
      <c r="R1484" s="994"/>
      <c r="S1484" s="134"/>
      <c r="T1484" s="405"/>
      <c r="U1484" s="994"/>
      <c r="V1484" s="994"/>
    </row>
    <row r="1485" spans="3:22">
      <c r="D1485" s="544">
        <v>4</v>
      </c>
      <c r="E1485" s="543" t="s">
        <v>108</v>
      </c>
      <c r="F1485" s="1018" t="s">
        <v>244</v>
      </c>
      <c r="G1485" s="1018"/>
      <c r="H1485" s="1018"/>
      <c r="I1485" s="544">
        <f>D1485*1</f>
        <v>4</v>
      </c>
      <c r="J1485" s="543" t="s">
        <v>108</v>
      </c>
      <c r="K1485" s="1018" t="s">
        <v>244</v>
      </c>
      <c r="L1485" s="1018"/>
      <c r="M1485" s="1018"/>
      <c r="N1485" s="38"/>
      <c r="O1485" s="133"/>
      <c r="P1485" s="135"/>
      <c r="Q1485" s="994"/>
      <c r="R1485" s="994"/>
      <c r="S1485" s="134"/>
      <c r="T1485" s="405"/>
      <c r="U1485" s="994"/>
      <c r="V1485" s="994"/>
    </row>
    <row r="1486" spans="3:22">
      <c r="N1486" s="23"/>
      <c r="O1486" s="133"/>
      <c r="P1486" s="135"/>
      <c r="Q1486" s="994"/>
      <c r="R1486" s="994"/>
      <c r="S1486" s="134"/>
      <c r="T1486" s="405"/>
      <c r="U1486" s="994"/>
      <c r="V1486" s="994"/>
    </row>
    <row r="1487" spans="3:22">
      <c r="N1487" s="459"/>
      <c r="O1487" s="133"/>
      <c r="P1487" s="135"/>
      <c r="Q1487" s="994"/>
      <c r="R1487" s="994"/>
      <c r="S1487" s="134"/>
      <c r="T1487" s="405"/>
      <c r="U1487" s="994"/>
      <c r="V1487" s="994"/>
    </row>
    <row r="1488" spans="3:22">
      <c r="D1488" s="1011" t="s">
        <v>115</v>
      </c>
      <c r="E1488" s="1012"/>
      <c r="F1488" s="1012"/>
      <c r="G1488" s="1012"/>
      <c r="H1488" s="1013"/>
      <c r="I1488" s="88"/>
      <c r="J1488" s="88"/>
      <c r="K1488" s="88"/>
      <c r="L1488" s="88"/>
      <c r="M1488" s="88"/>
      <c r="N1488" s="88"/>
      <c r="O1488" s="88"/>
      <c r="P1488" s="88"/>
      <c r="Q1488" s="88"/>
      <c r="S1488" s="154"/>
      <c r="T1488" s="88"/>
      <c r="U1488" s="88"/>
      <c r="V1488" s="88"/>
    </row>
    <row r="1489" spans="3:22">
      <c r="D1489" s="11" t="s">
        <v>692</v>
      </c>
      <c r="E1489" s="8" t="s">
        <v>1405</v>
      </c>
      <c r="F1489" s="397"/>
      <c r="G1489" s="397"/>
      <c r="H1489" s="487"/>
      <c r="I1489" s="88"/>
      <c r="J1489" s="88"/>
      <c r="K1489" s="88"/>
      <c r="L1489" s="88"/>
      <c r="M1489" s="88"/>
      <c r="N1489" s="88"/>
      <c r="O1489" s="88"/>
      <c r="P1489" s="88"/>
      <c r="Q1489" s="88"/>
      <c r="R1489" s="159">
        <f>I1480</f>
        <v>2</v>
      </c>
      <c r="S1489" s="11" t="s">
        <v>352</v>
      </c>
      <c r="T1489" s="88"/>
      <c r="U1489" s="88"/>
      <c r="V1489" s="88"/>
    </row>
    <row r="1490" spans="3:22">
      <c r="D1490" s="11" t="s">
        <v>693</v>
      </c>
      <c r="E1490" s="8" t="s">
        <v>1406</v>
      </c>
      <c r="F1490" s="397"/>
      <c r="G1490" s="397"/>
      <c r="H1490" s="487"/>
      <c r="I1490" s="88"/>
      <c r="J1490" s="88"/>
      <c r="K1490" s="88"/>
      <c r="L1490" s="88"/>
      <c r="M1490" s="88"/>
      <c r="N1490" s="88"/>
      <c r="O1490" s="88"/>
      <c r="P1490" s="88"/>
      <c r="Q1490" s="88"/>
      <c r="R1490" s="159">
        <f t="shared" ref="R1490:R1494" si="23">I1481</f>
        <v>4</v>
      </c>
      <c r="S1490" s="11" t="s">
        <v>352</v>
      </c>
      <c r="T1490" s="88"/>
      <c r="U1490" s="88"/>
      <c r="V1490" s="88"/>
    </row>
    <row r="1491" spans="3:22">
      <c r="D1491" s="11" t="s">
        <v>694</v>
      </c>
      <c r="E1491" s="8" t="s">
        <v>1407</v>
      </c>
      <c r="F1491" s="397"/>
      <c r="G1491" s="397"/>
      <c r="H1491" s="487"/>
      <c r="I1491" s="88"/>
      <c r="J1491" s="88"/>
      <c r="K1491" s="88"/>
      <c r="L1491" s="88"/>
      <c r="M1491" s="88"/>
      <c r="N1491" s="88"/>
      <c r="O1491" s="88"/>
      <c r="P1491" s="88"/>
      <c r="Q1491" s="88"/>
      <c r="R1491" s="159">
        <f t="shared" si="23"/>
        <v>16</v>
      </c>
      <c r="S1491" s="11" t="s">
        <v>352</v>
      </c>
      <c r="T1491" s="88"/>
      <c r="U1491" s="88"/>
      <c r="V1491" s="88"/>
    </row>
    <row r="1492" spans="3:22">
      <c r="D1492" s="11" t="s">
        <v>695</v>
      </c>
      <c r="E1492" s="8" t="s">
        <v>1408</v>
      </c>
      <c r="F1492" s="397"/>
      <c r="G1492" s="397"/>
      <c r="H1492" s="487"/>
      <c r="I1492" s="88"/>
      <c r="J1492" s="88"/>
      <c r="K1492" s="88"/>
      <c r="L1492" s="88"/>
      <c r="M1492" s="88"/>
      <c r="N1492" s="88"/>
      <c r="O1492" s="88"/>
      <c r="P1492" s="88"/>
      <c r="Q1492" s="88"/>
      <c r="R1492" s="159">
        <f t="shared" si="23"/>
        <v>16</v>
      </c>
      <c r="S1492" s="11" t="s">
        <v>352</v>
      </c>
      <c r="T1492" s="88"/>
      <c r="U1492" s="88"/>
      <c r="V1492" s="88"/>
    </row>
    <row r="1493" spans="3:22">
      <c r="D1493" s="11" t="s">
        <v>696</v>
      </c>
      <c r="E1493" s="8" t="s">
        <v>1409</v>
      </c>
      <c r="F1493" s="397"/>
      <c r="G1493" s="397"/>
      <c r="H1493" s="487"/>
      <c r="I1493" s="88"/>
      <c r="J1493" s="88"/>
      <c r="K1493" s="88"/>
      <c r="L1493" s="88"/>
      <c r="M1493" s="88"/>
      <c r="N1493" s="88"/>
      <c r="O1493" s="88"/>
      <c r="P1493" s="88"/>
      <c r="Q1493" s="88"/>
      <c r="R1493" s="159">
        <f t="shared" si="23"/>
        <v>4</v>
      </c>
      <c r="S1493" s="11" t="s">
        <v>352</v>
      </c>
      <c r="T1493" s="88"/>
      <c r="U1493" s="88"/>
      <c r="V1493" s="88"/>
    </row>
    <row r="1494" spans="3:22">
      <c r="D1494" s="11" t="s">
        <v>697</v>
      </c>
      <c r="E1494" s="8" t="s">
        <v>1410</v>
      </c>
      <c r="F1494" s="397"/>
      <c r="G1494" s="397"/>
      <c r="H1494" s="487"/>
      <c r="I1494" s="88"/>
      <c r="J1494" s="88"/>
      <c r="K1494" s="88"/>
      <c r="L1494" s="88"/>
      <c r="M1494" s="88"/>
      <c r="N1494" s="88"/>
      <c r="O1494" s="88"/>
      <c r="P1494" s="88"/>
      <c r="Q1494" s="88"/>
      <c r="R1494" s="159">
        <f t="shared" si="23"/>
        <v>4</v>
      </c>
      <c r="S1494" s="11" t="s">
        <v>352</v>
      </c>
      <c r="T1494" s="88"/>
      <c r="U1494" s="88"/>
      <c r="V1494" s="88"/>
    </row>
    <row r="1495" spans="3:22">
      <c r="D1495" s="396"/>
      <c r="E1495" s="397"/>
      <c r="F1495" s="397"/>
      <c r="G1495" s="397"/>
      <c r="H1495" s="487"/>
      <c r="I1495" s="88"/>
      <c r="J1495" s="88"/>
      <c r="K1495" s="88"/>
      <c r="L1495" s="88"/>
      <c r="M1495" s="88"/>
      <c r="N1495" s="88"/>
      <c r="O1495" s="88"/>
      <c r="P1495" s="88"/>
      <c r="Q1495" s="88"/>
      <c r="S1495" s="154"/>
      <c r="T1495" s="88"/>
      <c r="U1495" s="88"/>
      <c r="V1495" s="88"/>
    </row>
    <row r="1496" spans="3:22">
      <c r="D1496" s="396"/>
      <c r="E1496" s="397"/>
      <c r="F1496" s="397"/>
      <c r="G1496" s="397"/>
      <c r="H1496" s="487"/>
      <c r="I1496" s="88"/>
      <c r="J1496" s="88"/>
      <c r="K1496" s="88"/>
      <c r="L1496" s="88"/>
      <c r="M1496" s="88"/>
      <c r="N1496" s="88"/>
      <c r="O1496" s="88"/>
      <c r="P1496" s="88"/>
      <c r="Q1496" s="88"/>
      <c r="S1496" s="154"/>
      <c r="T1496" s="88"/>
      <c r="U1496" s="88"/>
      <c r="V1496" s="88"/>
    </row>
    <row r="1497" spans="3:22">
      <c r="C1497" s="205" t="s">
        <v>698</v>
      </c>
      <c r="D1497" s="176" t="s">
        <v>162</v>
      </c>
      <c r="E1497" s="477"/>
      <c r="F1497" s="477"/>
      <c r="G1497" s="477"/>
      <c r="H1497" s="504"/>
    </row>
    <row r="1499" spans="3:22">
      <c r="D1499" s="11" t="s">
        <v>699</v>
      </c>
      <c r="E1499" s="24" t="s">
        <v>49</v>
      </c>
      <c r="F1499" s="11"/>
      <c r="G1499" s="180"/>
      <c r="H1499" s="180"/>
      <c r="I1499" s="180"/>
      <c r="J1499" s="180"/>
      <c r="K1499" s="180"/>
      <c r="L1499" s="180"/>
      <c r="M1499" s="180"/>
      <c r="N1499" s="180"/>
      <c r="O1499" s="180"/>
      <c r="P1499" s="180"/>
      <c r="Q1499" s="180"/>
      <c r="R1499" s="158"/>
      <c r="S1499" s="403"/>
    </row>
    <row r="1501" spans="3:22">
      <c r="E1501" s="986" t="s">
        <v>242</v>
      </c>
      <c r="F1501" s="987"/>
      <c r="G1501" s="987"/>
      <c r="H1501" s="987"/>
      <c r="I1501" s="987"/>
      <c r="J1501" s="987"/>
      <c r="K1501" s="987"/>
      <c r="L1501" s="987"/>
      <c r="M1501" s="987"/>
      <c r="N1501" s="987"/>
      <c r="O1501" s="987"/>
      <c r="P1501" s="987"/>
      <c r="Q1501" s="1004"/>
      <c r="R1501" s="157">
        <f>Q1383</f>
        <v>8</v>
      </c>
      <c r="S1501" s="11" t="s">
        <v>17</v>
      </c>
    </row>
    <row r="1502" spans="3:22">
      <c r="E1502" s="395"/>
      <c r="F1502" s="395"/>
      <c r="G1502" s="395"/>
      <c r="H1502" s="395"/>
      <c r="I1502" s="395"/>
      <c r="J1502" s="395"/>
      <c r="K1502" s="395"/>
      <c r="L1502" s="395"/>
      <c r="M1502" s="395"/>
      <c r="N1502" s="395"/>
      <c r="O1502" s="395"/>
      <c r="P1502" s="395"/>
      <c r="Q1502" s="395"/>
      <c r="R1502" s="158"/>
      <c r="S1502" s="403"/>
    </row>
    <row r="1504" spans="3:22" ht="15">
      <c r="C1504" s="661">
        <v>15</v>
      </c>
      <c r="D1504" s="662" t="s">
        <v>1152</v>
      </c>
    </row>
    <row r="1505" spans="3:19">
      <c r="C1505" s="205"/>
      <c r="D1505" s="176"/>
    </row>
    <row r="1506" spans="3:19">
      <c r="C1506" s="205" t="s">
        <v>703</v>
      </c>
      <c r="D1506" s="396" t="s">
        <v>358</v>
      </c>
      <c r="E1506" s="123"/>
      <c r="F1506" s="395"/>
      <c r="G1506" s="395"/>
      <c r="H1506" s="395"/>
      <c r="I1506" s="395"/>
      <c r="J1506" s="395"/>
      <c r="K1506" s="395"/>
      <c r="L1506" s="395"/>
      <c r="M1506" s="395"/>
      <c r="N1506" s="395"/>
      <c r="O1506" s="395"/>
      <c r="P1506" s="395"/>
      <c r="Q1506" s="395"/>
      <c r="R1506" s="158"/>
      <c r="S1506" s="403"/>
    </row>
    <row r="1507" spans="3:19">
      <c r="D1507" s="403" t="s">
        <v>704</v>
      </c>
      <c r="E1507" s="123" t="s">
        <v>1208</v>
      </c>
      <c r="F1507" s="395"/>
      <c r="G1507" s="395"/>
      <c r="H1507" s="395"/>
      <c r="I1507" s="395"/>
      <c r="J1507" s="395"/>
      <c r="K1507" s="395"/>
      <c r="L1507" s="395"/>
      <c r="M1507" s="395"/>
      <c r="N1507" s="395"/>
      <c r="O1507" s="395"/>
      <c r="P1507" s="395"/>
      <c r="Q1507" s="395"/>
      <c r="R1507" s="157">
        <f>4*2</f>
        <v>8</v>
      </c>
      <c r="S1507" s="11" t="s">
        <v>352</v>
      </c>
    </row>
    <row r="1508" spans="3:19">
      <c r="D1508" s="403" t="s">
        <v>711</v>
      </c>
      <c r="E1508" s="8" t="s">
        <v>1177</v>
      </c>
      <c r="F1508" s="398"/>
      <c r="G1508" s="399"/>
      <c r="H1508" s="399"/>
      <c r="I1508" s="399"/>
      <c r="J1508" s="399"/>
      <c r="K1508" s="399"/>
      <c r="L1508" s="399"/>
      <c r="M1508" s="399"/>
      <c r="N1508" s="399"/>
      <c r="O1508" s="399"/>
      <c r="P1508" s="399"/>
      <c r="Q1508" s="399"/>
      <c r="R1508" s="157">
        <f>8*2</f>
        <v>16</v>
      </c>
      <c r="S1508" s="11" t="s">
        <v>352</v>
      </c>
    </row>
    <row r="1509" spans="3:19">
      <c r="D1509" s="403" t="s">
        <v>712</v>
      </c>
      <c r="E1509" s="8" t="s">
        <v>1161</v>
      </c>
      <c r="F1509" s="398"/>
      <c r="G1509" s="399"/>
      <c r="H1509" s="399"/>
      <c r="I1509" s="399"/>
      <c r="J1509" s="399"/>
      <c r="K1509" s="399"/>
      <c r="L1509" s="399"/>
      <c r="M1509" s="399"/>
      <c r="N1509" s="399"/>
      <c r="O1509" s="399"/>
      <c r="P1509" s="399"/>
      <c r="Q1509" s="399"/>
      <c r="R1509" s="157">
        <f>8*2*1</f>
        <v>16</v>
      </c>
      <c r="S1509" s="11" t="s">
        <v>352</v>
      </c>
    </row>
    <row r="1510" spans="3:19">
      <c r="D1510" s="403" t="s">
        <v>713</v>
      </c>
      <c r="E1510" s="8" t="s">
        <v>1162</v>
      </c>
      <c r="F1510" s="398"/>
      <c r="G1510" s="399"/>
      <c r="H1510" s="399"/>
      <c r="I1510" s="399"/>
      <c r="J1510" s="399"/>
      <c r="K1510" s="399"/>
      <c r="L1510" s="399"/>
      <c r="M1510" s="399"/>
      <c r="N1510" s="399"/>
      <c r="O1510" s="399"/>
      <c r="P1510" s="399"/>
      <c r="Q1510" s="399"/>
      <c r="R1510" s="157">
        <f>8*2*1</f>
        <v>16</v>
      </c>
      <c r="S1510" s="11" t="s">
        <v>352</v>
      </c>
    </row>
    <row r="1511" spans="3:19">
      <c r="D1511" s="403" t="s">
        <v>714</v>
      </c>
      <c r="E1511" s="8" t="s">
        <v>1179</v>
      </c>
      <c r="F1511" s="398"/>
      <c r="G1511" s="399"/>
      <c r="H1511" s="399"/>
      <c r="I1511" s="399"/>
      <c r="J1511" s="399"/>
      <c r="K1511" s="399"/>
      <c r="L1511" s="399"/>
      <c r="M1511" s="399"/>
      <c r="N1511" s="399"/>
      <c r="O1511" s="399"/>
      <c r="P1511" s="399"/>
      <c r="Q1511" s="399"/>
      <c r="R1511" s="157">
        <f>8*2*1</f>
        <v>16</v>
      </c>
      <c r="S1511" s="11" t="s">
        <v>352</v>
      </c>
    </row>
    <row r="1512" spans="3:19">
      <c r="D1512" s="403"/>
      <c r="E1512" s="86"/>
      <c r="F1512" s="395"/>
      <c r="G1512" s="395"/>
      <c r="H1512" s="395"/>
      <c r="I1512" s="395"/>
      <c r="J1512" s="395"/>
      <c r="K1512" s="395"/>
      <c r="L1512" s="395"/>
      <c r="M1512" s="395"/>
      <c r="N1512" s="395"/>
      <c r="O1512" s="395"/>
      <c r="P1512" s="395"/>
      <c r="Q1512" s="395"/>
      <c r="R1512" s="158"/>
      <c r="S1512" s="403"/>
    </row>
    <row r="1513" spans="3:19">
      <c r="C1513" s="205" t="s">
        <v>705</v>
      </c>
      <c r="D1513" s="396" t="s">
        <v>1202</v>
      </c>
      <c r="E1513" s="8"/>
      <c r="F1513" s="398"/>
      <c r="G1513" s="399"/>
      <c r="H1513" s="399"/>
      <c r="I1513" s="399"/>
      <c r="J1513" s="399"/>
      <c r="K1513" s="399"/>
      <c r="L1513" s="399"/>
      <c r="M1513" s="399"/>
      <c r="N1513" s="399"/>
      <c r="O1513" s="399"/>
      <c r="P1513" s="399"/>
      <c r="Q1513" s="399"/>
      <c r="R1513" s="158"/>
      <c r="S1513" s="403"/>
    </row>
    <row r="1514" spans="3:19">
      <c r="D1514" s="403" t="s">
        <v>706</v>
      </c>
      <c r="E1514" s="8" t="s">
        <v>1199</v>
      </c>
      <c r="F1514" s="398"/>
      <c r="G1514" s="399"/>
      <c r="H1514" s="399"/>
      <c r="I1514" s="399"/>
      <c r="J1514" s="399"/>
      <c r="K1514" s="399"/>
      <c r="L1514" s="399"/>
      <c r="M1514" s="399"/>
      <c r="N1514" s="399"/>
      <c r="O1514" s="399"/>
      <c r="P1514" s="399"/>
      <c r="Q1514" s="399"/>
      <c r="R1514" s="157">
        <f>4*1</f>
        <v>4</v>
      </c>
      <c r="S1514" s="156" t="s">
        <v>352</v>
      </c>
    </row>
    <row r="1515" spans="3:19">
      <c r="D1515" s="403" t="s">
        <v>715</v>
      </c>
      <c r="E1515" s="8" t="s">
        <v>1200</v>
      </c>
      <c r="F1515" s="398"/>
      <c r="G1515" s="399"/>
      <c r="H1515" s="399"/>
      <c r="I1515" s="399"/>
      <c r="J1515" s="399"/>
      <c r="K1515" s="399"/>
      <c r="L1515" s="399"/>
      <c r="M1515" s="399"/>
      <c r="N1515" s="399"/>
      <c r="O1515" s="399"/>
      <c r="P1515" s="399"/>
      <c r="Q1515" s="399"/>
      <c r="R1515" s="157">
        <f>8*1*1</f>
        <v>8</v>
      </c>
      <c r="S1515" s="156" t="s">
        <v>352</v>
      </c>
    </row>
    <row r="1516" spans="3:19">
      <c r="D1516" s="403" t="s">
        <v>716</v>
      </c>
      <c r="E1516" s="8" t="s">
        <v>1201</v>
      </c>
      <c r="F1516" s="398"/>
      <c r="G1516" s="399"/>
      <c r="H1516" s="399"/>
      <c r="I1516" s="399"/>
      <c r="J1516" s="399"/>
      <c r="K1516" s="399"/>
      <c r="L1516" s="399"/>
      <c r="M1516" s="399"/>
      <c r="N1516" s="399"/>
      <c r="O1516" s="399"/>
      <c r="P1516" s="399"/>
      <c r="Q1516" s="399"/>
      <c r="R1516" s="157">
        <f>8*1*1</f>
        <v>8</v>
      </c>
      <c r="S1516" s="156" t="s">
        <v>352</v>
      </c>
    </row>
    <row r="1519" spans="3:19" ht="15">
      <c r="C1519" s="661">
        <v>16</v>
      </c>
      <c r="D1519" s="662" t="s">
        <v>1372</v>
      </c>
    </row>
    <row r="1520" spans="3:19">
      <c r="C1520" s="205"/>
      <c r="D1520" s="174"/>
    </row>
    <row r="1521" spans="4:23">
      <c r="D1521" s="403" t="s">
        <v>1364</v>
      </c>
      <c r="E1521" s="8" t="s">
        <v>1359</v>
      </c>
      <c r="U1521" s="472" t="s">
        <v>1361</v>
      </c>
      <c r="V1521" s="535">
        <v>12</v>
      </c>
      <c r="W1521" s="472" t="s">
        <v>1358</v>
      </c>
    </row>
    <row r="1522" spans="4:23">
      <c r="D1522" s="472"/>
      <c r="E1522" s="1202" t="s">
        <v>1363</v>
      </c>
      <c r="F1522" s="1202"/>
      <c r="G1522" s="1202"/>
      <c r="H1522" s="1202"/>
      <c r="I1522" s="1202"/>
      <c r="J1522" s="1202"/>
      <c r="K1522" s="1202"/>
      <c r="L1522" s="1202"/>
      <c r="M1522" s="1202"/>
      <c r="N1522" s="1202"/>
      <c r="O1522" s="1202"/>
      <c r="P1522" s="1202"/>
      <c r="Q1522" s="1203"/>
      <c r="R1522" s="157">
        <f>V1522*V1521</f>
        <v>12</v>
      </c>
      <c r="S1522" s="156" t="s">
        <v>987</v>
      </c>
      <c r="U1522" s="472" t="s">
        <v>1360</v>
      </c>
      <c r="V1522" s="535">
        <v>1</v>
      </c>
      <c r="W1522" s="472" t="s">
        <v>987</v>
      </c>
    </row>
    <row r="1525" spans="4:23">
      <c r="D1525" s="403" t="s">
        <v>1365</v>
      </c>
      <c r="E1525" s="8" t="s">
        <v>717</v>
      </c>
      <c r="R1525" s="317"/>
      <c r="S1525" s="317"/>
      <c r="U1525" s="472" t="s">
        <v>1361</v>
      </c>
      <c r="V1525" s="535">
        <v>12</v>
      </c>
      <c r="W1525" s="472" t="s">
        <v>1358</v>
      </c>
    </row>
    <row r="1526" spans="4:23">
      <c r="E1526" s="1202" t="s">
        <v>1362</v>
      </c>
      <c r="F1526" s="1202"/>
      <c r="G1526" s="1202"/>
      <c r="H1526" s="1202"/>
      <c r="I1526" s="1202"/>
      <c r="J1526" s="1202"/>
      <c r="K1526" s="1202"/>
      <c r="L1526" s="1202"/>
      <c r="M1526" s="1202"/>
      <c r="N1526" s="1202"/>
      <c r="O1526" s="1202"/>
      <c r="P1526" s="1202"/>
      <c r="Q1526" s="1202"/>
      <c r="R1526" s="157">
        <f>V1526*V1525</f>
        <v>180</v>
      </c>
      <c r="S1526" s="156" t="s">
        <v>987</v>
      </c>
      <c r="U1526" s="472" t="s">
        <v>1360</v>
      </c>
      <c r="V1526" s="535">
        <v>15</v>
      </c>
      <c r="W1526" s="472" t="s">
        <v>987</v>
      </c>
    </row>
    <row r="1529" spans="4:23">
      <c r="D1529" s="403" t="s">
        <v>1366</v>
      </c>
      <c r="E1529" s="8" t="s">
        <v>1368</v>
      </c>
      <c r="R1529" s="317"/>
      <c r="S1529" s="317"/>
      <c r="U1529" s="472" t="s">
        <v>1361</v>
      </c>
      <c r="V1529" s="535">
        <v>12</v>
      </c>
      <c r="W1529" s="472" t="s">
        <v>1358</v>
      </c>
    </row>
    <row r="1530" spans="4:23">
      <c r="E1530" s="1202" t="s">
        <v>1367</v>
      </c>
      <c r="F1530" s="1202"/>
      <c r="G1530" s="1202"/>
      <c r="H1530" s="1202"/>
      <c r="I1530" s="1202"/>
      <c r="J1530" s="1202"/>
      <c r="K1530" s="1202"/>
      <c r="L1530" s="1202"/>
      <c r="M1530" s="1202"/>
      <c r="N1530" s="1202"/>
      <c r="O1530" s="1202"/>
      <c r="P1530" s="1202"/>
      <c r="Q1530" s="1202"/>
      <c r="R1530" s="157">
        <f>V1530*V1529</f>
        <v>24</v>
      </c>
      <c r="S1530" s="156" t="s">
        <v>987</v>
      </c>
      <c r="U1530" s="472" t="s">
        <v>1360</v>
      </c>
      <c r="V1530" s="535">
        <v>2</v>
      </c>
      <c r="W1530" s="472" t="s">
        <v>987</v>
      </c>
    </row>
    <row r="1533" spans="4:23">
      <c r="D1533" s="403" t="s">
        <v>1369</v>
      </c>
      <c r="E1533" s="8" t="s">
        <v>1094</v>
      </c>
      <c r="R1533" s="317"/>
      <c r="S1533" s="317"/>
      <c r="U1533" s="472" t="s">
        <v>1361</v>
      </c>
      <c r="V1533" s="535">
        <v>12</v>
      </c>
      <c r="W1533" s="472" t="s">
        <v>1358</v>
      </c>
    </row>
    <row r="1534" spans="4:23">
      <c r="E1534" s="1202" t="s">
        <v>1370</v>
      </c>
      <c r="F1534" s="1202"/>
      <c r="G1534" s="1202"/>
      <c r="H1534" s="1202"/>
      <c r="I1534" s="1202"/>
      <c r="J1534" s="1202"/>
      <c r="K1534" s="1202"/>
      <c r="L1534" s="1202"/>
      <c r="M1534" s="1202"/>
      <c r="N1534" s="1202"/>
      <c r="O1534" s="1202"/>
      <c r="P1534" s="1202"/>
      <c r="Q1534" s="1202"/>
      <c r="R1534" s="157">
        <f>V1533/V1534</f>
        <v>12</v>
      </c>
      <c r="S1534" s="156" t="s">
        <v>1093</v>
      </c>
      <c r="U1534" s="472" t="s">
        <v>1371</v>
      </c>
      <c r="V1534" s="535">
        <v>1</v>
      </c>
      <c r="W1534" s="472" t="s">
        <v>987</v>
      </c>
    </row>
    <row r="1537" spans="3:23" ht="15">
      <c r="C1537" s="661">
        <v>17</v>
      </c>
      <c r="D1537" s="662" t="s">
        <v>981</v>
      </c>
    </row>
    <row r="1539" spans="3:23">
      <c r="D1539" s="403" t="s">
        <v>934</v>
      </c>
      <c r="E1539" s="123" t="s">
        <v>1374</v>
      </c>
      <c r="F1539" s="395"/>
      <c r="G1539" s="395"/>
      <c r="H1539" s="395"/>
      <c r="I1539" s="395"/>
      <c r="J1539" s="395"/>
      <c r="K1539" s="395"/>
      <c r="L1539" s="395"/>
      <c r="M1539" s="395"/>
      <c r="N1539" s="395"/>
      <c r="O1539" s="395"/>
      <c r="P1539" s="395"/>
      <c r="Q1539" s="395"/>
      <c r="R1539" s="157">
        <f>10*V1539</f>
        <v>120</v>
      </c>
      <c r="S1539" s="11" t="s">
        <v>352</v>
      </c>
      <c r="U1539" s="472" t="s">
        <v>1361</v>
      </c>
      <c r="V1539" s="535">
        <v>12</v>
      </c>
      <c r="W1539" s="472" t="s">
        <v>1358</v>
      </c>
    </row>
    <row r="1540" spans="3:23">
      <c r="D1540" s="403" t="s">
        <v>946</v>
      </c>
      <c r="E1540" s="442" t="s">
        <v>1375</v>
      </c>
      <c r="F1540" s="398"/>
      <c r="G1540" s="399"/>
      <c r="H1540" s="399"/>
      <c r="I1540" s="399"/>
      <c r="J1540" s="399"/>
      <c r="K1540" s="399"/>
      <c r="L1540" s="399"/>
      <c r="M1540" s="399"/>
      <c r="N1540" s="399"/>
      <c r="O1540" s="399"/>
      <c r="P1540" s="399"/>
      <c r="Q1540" s="399"/>
      <c r="R1540" s="157">
        <f>10*V1539</f>
        <v>120</v>
      </c>
      <c r="S1540" s="11" t="s">
        <v>352</v>
      </c>
    </row>
    <row r="1541" spans="3:23">
      <c r="D1541" s="403" t="s">
        <v>1373</v>
      </c>
      <c r="E1541" s="442" t="s">
        <v>1376</v>
      </c>
      <c r="F1541" s="399"/>
      <c r="G1541" s="399"/>
      <c r="H1541" s="399"/>
      <c r="I1541" s="399"/>
      <c r="J1541" s="399"/>
      <c r="K1541" s="399"/>
      <c r="L1541" s="399"/>
      <c r="M1541" s="399"/>
      <c r="N1541" s="399"/>
      <c r="O1541" s="399"/>
      <c r="P1541" s="399"/>
      <c r="Q1541" s="399"/>
      <c r="R1541" s="157">
        <f>V1541*V1539</f>
        <v>12</v>
      </c>
      <c r="S1541" s="11" t="s">
        <v>987</v>
      </c>
      <c r="U1541" s="472" t="s">
        <v>1377</v>
      </c>
      <c r="V1541" s="535">
        <v>1</v>
      </c>
      <c r="W1541" s="472" t="s">
        <v>118</v>
      </c>
    </row>
    <row r="1544" spans="3:23" ht="15">
      <c r="C1544" s="661">
        <v>18</v>
      </c>
      <c r="D1544" s="662" t="s">
        <v>932</v>
      </c>
    </row>
    <row r="1546" spans="3:23">
      <c r="C1546" s="205" t="s">
        <v>973</v>
      </c>
      <c r="D1546" s="176" t="s">
        <v>947</v>
      </c>
    </row>
    <row r="1548" spans="3:23">
      <c r="E1548" s="472" t="s">
        <v>1381</v>
      </c>
      <c r="F1548" s="535">
        <v>200</v>
      </c>
      <c r="G1548" s="534" t="s">
        <v>118</v>
      </c>
    </row>
    <row r="1550" spans="3:23">
      <c r="D1550" s="403" t="s">
        <v>974</v>
      </c>
      <c r="E1550" s="123" t="s">
        <v>1378</v>
      </c>
      <c r="F1550" s="395"/>
      <c r="G1550" s="395"/>
      <c r="H1550" s="395"/>
      <c r="I1550" s="395"/>
      <c r="J1550" s="395"/>
      <c r="K1550" s="395"/>
      <c r="L1550" s="395"/>
      <c r="M1550" s="395"/>
      <c r="N1550" s="395"/>
      <c r="O1550" s="395"/>
      <c r="P1550" s="395"/>
      <c r="Q1550" s="395"/>
      <c r="R1550" s="157">
        <f>1*$F$1548</f>
        <v>200</v>
      </c>
      <c r="S1550" s="11" t="s">
        <v>352</v>
      </c>
    </row>
    <row r="1551" spans="3:23">
      <c r="D1551" s="403" t="s">
        <v>975</v>
      </c>
      <c r="E1551" s="123" t="s">
        <v>1379</v>
      </c>
      <c r="F1551" s="398"/>
      <c r="G1551" s="399"/>
      <c r="H1551" s="399"/>
      <c r="I1551" s="399"/>
      <c r="J1551" s="399"/>
      <c r="K1551" s="399"/>
      <c r="L1551" s="399"/>
      <c r="M1551" s="399"/>
      <c r="N1551" s="399"/>
      <c r="O1551" s="399"/>
      <c r="P1551" s="399"/>
      <c r="Q1551" s="399"/>
      <c r="R1551" s="157">
        <f t="shared" ref="R1551:R1552" si="24">1*$F$1548</f>
        <v>200</v>
      </c>
      <c r="S1551" s="11" t="s">
        <v>352</v>
      </c>
    </row>
    <row r="1552" spans="3:23">
      <c r="D1552" s="403" t="s">
        <v>976</v>
      </c>
      <c r="E1552" s="123" t="s">
        <v>1380</v>
      </c>
      <c r="F1552" s="398"/>
      <c r="G1552" s="399"/>
      <c r="H1552" s="399"/>
      <c r="I1552" s="399"/>
      <c r="J1552" s="399"/>
      <c r="K1552" s="399"/>
      <c r="L1552" s="399"/>
      <c r="M1552" s="399"/>
      <c r="N1552" s="399"/>
      <c r="O1552" s="399"/>
      <c r="P1552" s="399"/>
      <c r="Q1552" s="399"/>
      <c r="R1552" s="157">
        <f t="shared" si="24"/>
        <v>200</v>
      </c>
      <c r="S1552" s="11" t="s">
        <v>352</v>
      </c>
    </row>
    <row r="1555" spans="3:19">
      <c r="C1555" s="205" t="s">
        <v>977</v>
      </c>
      <c r="D1555" s="176" t="s">
        <v>1386</v>
      </c>
    </row>
    <row r="1557" spans="3:19">
      <c r="E1557" s="317" t="s">
        <v>1382</v>
      </c>
      <c r="F1557" s="535">
        <v>12</v>
      </c>
      <c r="G1557" s="236" t="s">
        <v>1358</v>
      </c>
    </row>
    <row r="1558" spans="3:19">
      <c r="E1558" s="317" t="s">
        <v>1383</v>
      </c>
      <c r="F1558" s="535">
        <v>2</v>
      </c>
      <c r="G1558" s="236" t="s">
        <v>1384</v>
      </c>
    </row>
    <row r="1559" spans="3:19">
      <c r="E1559" s="643" t="s">
        <v>1390</v>
      </c>
      <c r="F1559" s="535">
        <v>24</v>
      </c>
      <c r="G1559" s="236" t="s">
        <v>1385</v>
      </c>
    </row>
    <row r="1561" spans="3:19">
      <c r="D1561" s="317" t="s">
        <v>978</v>
      </c>
      <c r="E1561" s="317" t="s">
        <v>1387</v>
      </c>
      <c r="R1561" s="157">
        <f>2*F1559</f>
        <v>48</v>
      </c>
      <c r="S1561" s="11" t="s">
        <v>352</v>
      </c>
    </row>
    <row r="1562" spans="3:19">
      <c r="D1562" s="317" t="s">
        <v>979</v>
      </c>
      <c r="E1562" s="317" t="s">
        <v>1388</v>
      </c>
      <c r="R1562" s="157">
        <f>6*F1559</f>
        <v>144</v>
      </c>
      <c r="S1562" s="11" t="s">
        <v>352</v>
      </c>
    </row>
    <row r="1563" spans="3:19">
      <c r="D1563" s="317" t="s">
        <v>980</v>
      </c>
      <c r="E1563" s="317" t="s">
        <v>1389</v>
      </c>
      <c r="R1563" s="157">
        <f>6*F1559</f>
        <v>144</v>
      </c>
      <c r="S1563" s="11" t="s">
        <v>352</v>
      </c>
    </row>
    <row r="1564" spans="3:19">
      <c r="D1564" s="317" t="s">
        <v>1153</v>
      </c>
      <c r="E1564" s="472" t="s">
        <v>1393</v>
      </c>
      <c r="R1564" s="157">
        <f>3*F1559</f>
        <v>72</v>
      </c>
      <c r="S1564" s="11" t="s">
        <v>352</v>
      </c>
    </row>
    <row r="1570" spans="3:5" ht="16.5">
      <c r="E1570" s="228" t="s">
        <v>1444</v>
      </c>
    </row>
    <row r="1571" spans="3:5" ht="16.5">
      <c r="E1571" s="228"/>
    </row>
    <row r="1572" spans="3:5" ht="14.25">
      <c r="E1572" s="230"/>
    </row>
    <row r="1573" spans="3:5" ht="16.5">
      <c r="C1573" s="717"/>
      <c r="D1573" s="717"/>
      <c r="E1573" s="718"/>
    </row>
    <row r="1574" spans="3:5" ht="16.5">
      <c r="E1574" s="231" t="s">
        <v>763</v>
      </c>
    </row>
    <row r="1575" spans="3:5" ht="16.5">
      <c r="E1575" s="232" t="s">
        <v>764</v>
      </c>
    </row>
    <row r="1576" spans="3:5" ht="16.5">
      <c r="E1576" s="232" t="s">
        <v>765</v>
      </c>
    </row>
  </sheetData>
  <mergeCells count="743">
    <mergeCell ref="E1522:Q1522"/>
    <mergeCell ref="E1526:Q1526"/>
    <mergeCell ref="E1530:Q1530"/>
    <mergeCell ref="E1534:Q1534"/>
    <mergeCell ref="J1191:J1192"/>
    <mergeCell ref="J1193:J1194"/>
    <mergeCell ref="F1198:M1198"/>
    <mergeCell ref="F1199:F1200"/>
    <mergeCell ref="G1199:G1200"/>
    <mergeCell ref="H1199:H1200"/>
    <mergeCell ref="I1199:I1200"/>
    <mergeCell ref="J1199:J1200"/>
    <mergeCell ref="K1199:K1200"/>
    <mergeCell ref="L1199:L1200"/>
    <mergeCell ref="M1199:M1200"/>
    <mergeCell ref="C1222:V1222"/>
    <mergeCell ref="C1223:V1223"/>
    <mergeCell ref="C1224:V1224"/>
    <mergeCell ref="C1225:H1226"/>
    <mergeCell ref="I1225:J1226"/>
    <mergeCell ref="K1225:L1226"/>
    <mergeCell ref="M1225:N1226"/>
    <mergeCell ref="O1225:P1226"/>
    <mergeCell ref="Q1225:R1226"/>
    <mergeCell ref="E1181:H1181"/>
    <mergeCell ref="J1181:N1181"/>
    <mergeCell ref="J1182:J1183"/>
    <mergeCell ref="K1182:K1183"/>
    <mergeCell ref="L1182:L1183"/>
    <mergeCell ref="M1182:M1183"/>
    <mergeCell ref="N1182:N1183"/>
    <mergeCell ref="E1190:H1190"/>
    <mergeCell ref="J1190:N1190"/>
    <mergeCell ref="J1169:L1169"/>
    <mergeCell ref="D1179:O1179"/>
    <mergeCell ref="E1152:N1152"/>
    <mergeCell ref="E1153:I1153"/>
    <mergeCell ref="J1153:N1153"/>
    <mergeCell ref="E1154:N1154"/>
    <mergeCell ref="G1155:I1155"/>
    <mergeCell ref="L1155:N1155"/>
    <mergeCell ref="G1156:I1156"/>
    <mergeCell ref="L1156:N1156"/>
    <mergeCell ref="G1157:I1157"/>
    <mergeCell ref="L1157:N1157"/>
    <mergeCell ref="G1158:I1158"/>
    <mergeCell ref="L1158:N1158"/>
    <mergeCell ref="S1077:S1078"/>
    <mergeCell ref="T1077:T1078"/>
    <mergeCell ref="U1077:V1078"/>
    <mergeCell ref="E1105:G1105"/>
    <mergeCell ref="I1105:K1105"/>
    <mergeCell ref="E1113:G1113"/>
    <mergeCell ref="I1113:J1113"/>
    <mergeCell ref="L1113:M1113"/>
    <mergeCell ref="E1114:G1114"/>
    <mergeCell ref="I1077:J1078"/>
    <mergeCell ref="K1077:K1078"/>
    <mergeCell ref="L1077:L1078"/>
    <mergeCell ref="M1077:M1078"/>
    <mergeCell ref="N1077:N1078"/>
    <mergeCell ref="O1077:O1078"/>
    <mergeCell ref="P1077:P1078"/>
    <mergeCell ref="Q1077:Q1078"/>
    <mergeCell ref="R1077:R1078"/>
    <mergeCell ref="E391:Q391"/>
    <mergeCell ref="F371:H371"/>
    <mergeCell ref="E814:H814"/>
    <mergeCell ref="J814:N814"/>
    <mergeCell ref="E843:F843"/>
    <mergeCell ref="E847:J847"/>
    <mergeCell ref="E848:J848"/>
    <mergeCell ref="L849:N849"/>
    <mergeCell ref="P856:Q856"/>
    <mergeCell ref="J815:J816"/>
    <mergeCell ref="J817:J818"/>
    <mergeCell ref="F822:M822"/>
    <mergeCell ref="F823:F824"/>
    <mergeCell ref="G823:G824"/>
    <mergeCell ref="H823:H824"/>
    <mergeCell ref="I823:I824"/>
    <mergeCell ref="J823:J824"/>
    <mergeCell ref="K823:K824"/>
    <mergeCell ref="L823:L824"/>
    <mergeCell ref="M823:M824"/>
    <mergeCell ref="P849:R849"/>
    <mergeCell ref="C425:V425"/>
    <mergeCell ref="C426:V426"/>
    <mergeCell ref="C427:V427"/>
    <mergeCell ref="Y184:Y186"/>
    <mergeCell ref="Y193:Y195"/>
    <mergeCell ref="U374:V374"/>
    <mergeCell ref="Q375:R375"/>
    <mergeCell ref="U375:V375"/>
    <mergeCell ref="D368:M368"/>
    <mergeCell ref="O368:P368"/>
    <mergeCell ref="Q368:R368"/>
    <mergeCell ref="S368:T368"/>
    <mergeCell ref="U368:V368"/>
    <mergeCell ref="F369:H369"/>
    <mergeCell ref="K369:M369"/>
    <mergeCell ref="O369:V369"/>
    <mergeCell ref="F370:H370"/>
    <mergeCell ref="K370:M370"/>
    <mergeCell ref="O370:R370"/>
    <mergeCell ref="Q373:R373"/>
    <mergeCell ref="U373:V373"/>
    <mergeCell ref="F204:K205"/>
    <mergeCell ref="L204:L205"/>
    <mergeCell ref="M204:M205"/>
    <mergeCell ref="E340:Q340"/>
    <mergeCell ref="E334:Q334"/>
    <mergeCell ref="K225:Q225"/>
    <mergeCell ref="K226:Q227"/>
    <mergeCell ref="E311:Q311"/>
    <mergeCell ref="E294:Q294"/>
    <mergeCell ref="E306:Q306"/>
    <mergeCell ref="K220:Q220"/>
    <mergeCell ref="K222:Q224"/>
    <mergeCell ref="N204:N205"/>
    <mergeCell ref="F207:J207"/>
    <mergeCell ref="K207:Q207"/>
    <mergeCell ref="K209:Q211"/>
    <mergeCell ref="K212:Q212"/>
    <mergeCell ref="K213:Q214"/>
    <mergeCell ref="E272:Q272"/>
    <mergeCell ref="F217:K218"/>
    <mergeCell ref="L217:L218"/>
    <mergeCell ref="M217:M218"/>
    <mergeCell ref="N217:N218"/>
    <mergeCell ref="F220:J220"/>
    <mergeCell ref="Q374:R374"/>
    <mergeCell ref="D366:M366"/>
    <mergeCell ref="O366:V366"/>
    <mergeCell ref="D367:H367"/>
    <mergeCell ref="I367:M367"/>
    <mergeCell ref="O367:R367"/>
    <mergeCell ref="S367:V367"/>
    <mergeCell ref="E295:Q295"/>
    <mergeCell ref="E300:Q300"/>
    <mergeCell ref="E301:Q301"/>
    <mergeCell ref="E329:Q329"/>
    <mergeCell ref="U371:V371"/>
    <mergeCell ref="F372:H372"/>
    <mergeCell ref="K372:M372"/>
    <mergeCell ref="Q372:R372"/>
    <mergeCell ref="U372:V372"/>
    <mergeCell ref="E335:Q335"/>
    <mergeCell ref="E345:Q345"/>
    <mergeCell ref="E346:Q346"/>
    <mergeCell ref="E316:Q316"/>
    <mergeCell ref="D378:H378"/>
    <mergeCell ref="F374:H374"/>
    <mergeCell ref="K374:M374"/>
    <mergeCell ref="F375:H375"/>
    <mergeCell ref="K375:M375"/>
    <mergeCell ref="S370:V370"/>
    <mergeCell ref="C195:V195"/>
    <mergeCell ref="P193:P194"/>
    <mergeCell ref="Q193:Q194"/>
    <mergeCell ref="R193:R194"/>
    <mergeCell ref="S193:S194"/>
    <mergeCell ref="T193:T194"/>
    <mergeCell ref="U193:V194"/>
    <mergeCell ref="C192:H194"/>
    <mergeCell ref="I193:J194"/>
    <mergeCell ref="K193:K194"/>
    <mergeCell ref="L193:L194"/>
    <mergeCell ref="M193:M194"/>
    <mergeCell ref="N193:N194"/>
    <mergeCell ref="O193:O194"/>
    <mergeCell ref="K371:M371"/>
    <mergeCell ref="Q371:R371"/>
    <mergeCell ref="F373:H373"/>
    <mergeCell ref="K373:M373"/>
    <mergeCell ref="C189:V189"/>
    <mergeCell ref="C190:H191"/>
    <mergeCell ref="I190:J191"/>
    <mergeCell ref="K190:L191"/>
    <mergeCell ref="M190:N191"/>
    <mergeCell ref="O190:P191"/>
    <mergeCell ref="Q190:R191"/>
    <mergeCell ref="S190:T191"/>
    <mergeCell ref="U190:V191"/>
    <mergeCell ref="U138:V138"/>
    <mergeCell ref="C183:C188"/>
    <mergeCell ref="F183:G183"/>
    <mergeCell ref="F184:G184"/>
    <mergeCell ref="F185:G185"/>
    <mergeCell ref="F186:G186"/>
    <mergeCell ref="F187:G187"/>
    <mergeCell ref="F188:G188"/>
    <mergeCell ref="C180:V180"/>
    <mergeCell ref="C181:C182"/>
    <mergeCell ref="D181:D182"/>
    <mergeCell ref="E181:E182"/>
    <mergeCell ref="F181:H182"/>
    <mergeCell ref="I181:J182"/>
    <mergeCell ref="K181:L182"/>
    <mergeCell ref="M181:N182"/>
    <mergeCell ref="O181:P182"/>
    <mergeCell ref="Q181:R182"/>
    <mergeCell ref="S181:T182"/>
    <mergeCell ref="U181:V182"/>
    <mergeCell ref="F152:Q152"/>
    <mergeCell ref="Q138:R138"/>
    <mergeCell ref="E162:Q162"/>
    <mergeCell ref="F163:Q163"/>
    <mergeCell ref="U137:V137"/>
    <mergeCell ref="U136:V136"/>
    <mergeCell ref="E104:Q104"/>
    <mergeCell ref="E97:Q97"/>
    <mergeCell ref="S134:V134"/>
    <mergeCell ref="U135:V135"/>
    <mergeCell ref="E115:Q115"/>
    <mergeCell ref="E114:Q114"/>
    <mergeCell ref="E109:Q109"/>
    <mergeCell ref="E103:Q103"/>
    <mergeCell ref="D130:J130"/>
    <mergeCell ref="D131:J131"/>
    <mergeCell ref="F133:H133"/>
    <mergeCell ref="F134:H134"/>
    <mergeCell ref="K134:M134"/>
    <mergeCell ref="F135:H135"/>
    <mergeCell ref="K135:M135"/>
    <mergeCell ref="Q135:R135"/>
    <mergeCell ref="K133:M133"/>
    <mergeCell ref="F136:H136"/>
    <mergeCell ref="K136:M136"/>
    <mergeCell ref="Q136:R136"/>
    <mergeCell ref="Q137:R137"/>
    <mergeCell ref="E63:Q63"/>
    <mergeCell ref="E62:Q62"/>
    <mergeCell ref="E74:Q74"/>
    <mergeCell ref="S131:V131"/>
    <mergeCell ref="D132:M132"/>
    <mergeCell ref="O132:P132"/>
    <mergeCell ref="Q132:R132"/>
    <mergeCell ref="S132:T132"/>
    <mergeCell ref="U132:V132"/>
    <mergeCell ref="E79:Q79"/>
    <mergeCell ref="E69:Q69"/>
    <mergeCell ref="E68:Q68"/>
    <mergeCell ref="P1:W1"/>
    <mergeCell ref="S3:W3"/>
    <mergeCell ref="S2:W2"/>
    <mergeCell ref="S4:W4"/>
    <mergeCell ref="P2:R2"/>
    <mergeCell ref="P3:R3"/>
    <mergeCell ref="P4:R4"/>
    <mergeCell ref="P5:R5"/>
    <mergeCell ref="C2:O2"/>
    <mergeCell ref="C3:O3"/>
    <mergeCell ref="C4:O5"/>
    <mergeCell ref="E1:O1"/>
    <mergeCell ref="S5:W5"/>
    <mergeCell ref="U48:V49"/>
    <mergeCell ref="U50:V51"/>
    <mergeCell ref="C48:H49"/>
    <mergeCell ref="I48:J49"/>
    <mergeCell ref="K48:L49"/>
    <mergeCell ref="M48:N49"/>
    <mergeCell ref="O48:P49"/>
    <mergeCell ref="Q48:R49"/>
    <mergeCell ref="S48:T49"/>
    <mergeCell ref="K50:L51"/>
    <mergeCell ref="T50:T51"/>
    <mergeCell ref="C50:H51"/>
    <mergeCell ref="R50:R51"/>
    <mergeCell ref="S50:S51"/>
    <mergeCell ref="I50:J51"/>
    <mergeCell ref="M50:M51"/>
    <mergeCell ref="N50:N51"/>
    <mergeCell ref="O50:O51"/>
    <mergeCell ref="P50:P51"/>
    <mergeCell ref="Q50:Q51"/>
    <mergeCell ref="T156:T157"/>
    <mergeCell ref="U156:V157"/>
    <mergeCell ref="F151:Q151"/>
    <mergeCell ref="S154:T155"/>
    <mergeCell ref="D139:H139"/>
    <mergeCell ref="C156:H157"/>
    <mergeCell ref="I156:J157"/>
    <mergeCell ref="K156:K157"/>
    <mergeCell ref="L156:L157"/>
    <mergeCell ref="M156:M157"/>
    <mergeCell ref="U154:V155"/>
    <mergeCell ref="C154:H155"/>
    <mergeCell ref="I154:J155"/>
    <mergeCell ref="K154:L155"/>
    <mergeCell ref="M154:N155"/>
    <mergeCell ref="O154:P155"/>
    <mergeCell ref="R156:R157"/>
    <mergeCell ref="S156:S157"/>
    <mergeCell ref="N156:N157"/>
    <mergeCell ref="O156:O157"/>
    <mergeCell ref="P156:P157"/>
    <mergeCell ref="Q156:Q157"/>
    <mergeCell ref="Q154:R155"/>
    <mergeCell ref="S428:T429"/>
    <mergeCell ref="U428:V429"/>
    <mergeCell ref="U431:V432"/>
    <mergeCell ref="C430:H432"/>
    <mergeCell ref="I431:J432"/>
    <mergeCell ref="K431:K432"/>
    <mergeCell ref="L431:L432"/>
    <mergeCell ref="M431:M432"/>
    <mergeCell ref="N431:N432"/>
    <mergeCell ref="O431:O432"/>
    <mergeCell ref="P431:P432"/>
    <mergeCell ref="Q431:Q432"/>
    <mergeCell ref="R431:R432"/>
    <mergeCell ref="S431:S432"/>
    <mergeCell ref="T431:T432"/>
    <mergeCell ref="C428:H429"/>
    <mergeCell ref="I428:J429"/>
    <mergeCell ref="K428:L429"/>
    <mergeCell ref="M428:N429"/>
    <mergeCell ref="O428:P429"/>
    <mergeCell ref="Q428:R429"/>
    <mergeCell ref="F451:J451"/>
    <mergeCell ref="K451:Q451"/>
    <mergeCell ref="K453:Q454"/>
    <mergeCell ref="F438:K439"/>
    <mergeCell ref="L438:L439"/>
    <mergeCell ref="M438:M439"/>
    <mergeCell ref="N438:N439"/>
    <mergeCell ref="F441:J441"/>
    <mergeCell ref="K441:Q441"/>
    <mergeCell ref="K443:Q444"/>
    <mergeCell ref="F448:K449"/>
    <mergeCell ref="L448:L449"/>
    <mergeCell ref="M448:M449"/>
    <mergeCell ref="N448:N449"/>
    <mergeCell ref="O448:O449"/>
    <mergeCell ref="E478:Q478"/>
    <mergeCell ref="E483:Q483"/>
    <mergeCell ref="E496:Q496"/>
    <mergeCell ref="E501:Q501"/>
    <mergeCell ref="E502:Q502"/>
    <mergeCell ref="E461:Q461"/>
    <mergeCell ref="E462:Q462"/>
    <mergeCell ref="E467:Q467"/>
    <mergeCell ref="E468:Q468"/>
    <mergeCell ref="E473:Q473"/>
    <mergeCell ref="D533:M533"/>
    <mergeCell ref="D534:H534"/>
    <mergeCell ref="I534:M534"/>
    <mergeCell ref="D535:M535"/>
    <mergeCell ref="O535:P535"/>
    <mergeCell ref="Q535:R535"/>
    <mergeCell ref="S535:T535"/>
    <mergeCell ref="E507:Q507"/>
    <mergeCell ref="E512:Q512"/>
    <mergeCell ref="E513:Q513"/>
    <mergeCell ref="F539:H539"/>
    <mergeCell ref="K539:M539"/>
    <mergeCell ref="Q539:R539"/>
    <mergeCell ref="Q540:R540"/>
    <mergeCell ref="U540:V540"/>
    <mergeCell ref="F536:H536"/>
    <mergeCell ref="K536:M536"/>
    <mergeCell ref="F537:H537"/>
    <mergeCell ref="K537:M537"/>
    <mergeCell ref="F538:H538"/>
    <mergeCell ref="K538:M538"/>
    <mergeCell ref="Q538:R538"/>
    <mergeCell ref="K592:Q593"/>
    <mergeCell ref="F590:J590"/>
    <mergeCell ref="K590:Q590"/>
    <mergeCell ref="C578:H580"/>
    <mergeCell ref="E556:Q556"/>
    <mergeCell ref="F540:H540"/>
    <mergeCell ref="K540:M540"/>
    <mergeCell ref="F541:H541"/>
    <mergeCell ref="K541:M541"/>
    <mergeCell ref="Q541:R541"/>
    <mergeCell ref="C573:V573"/>
    <mergeCell ref="C574:V574"/>
    <mergeCell ref="C575:V575"/>
    <mergeCell ref="C576:H577"/>
    <mergeCell ref="I576:J577"/>
    <mergeCell ref="K576:L577"/>
    <mergeCell ref="M576:N577"/>
    <mergeCell ref="O576:P577"/>
    <mergeCell ref="Q576:R577"/>
    <mergeCell ref="S576:T577"/>
    <mergeCell ref="U576:V577"/>
    <mergeCell ref="D543:H543"/>
    <mergeCell ref="S579:S580"/>
    <mergeCell ref="T579:T580"/>
    <mergeCell ref="M587:M588"/>
    <mergeCell ref="N587:N588"/>
    <mergeCell ref="L579:L580"/>
    <mergeCell ref="M579:M580"/>
    <mergeCell ref="N579:N580"/>
    <mergeCell ref="O579:O580"/>
    <mergeCell ref="P579:P580"/>
    <mergeCell ref="R579:R580"/>
    <mergeCell ref="Q579:Q580"/>
    <mergeCell ref="K600:Q600"/>
    <mergeCell ref="K602:Q603"/>
    <mergeCell ref="E610:Q610"/>
    <mergeCell ref="E611:Q611"/>
    <mergeCell ref="E616:Q616"/>
    <mergeCell ref="E617:Q617"/>
    <mergeCell ref="E622:Q622"/>
    <mergeCell ref="E627:Q627"/>
    <mergeCell ref="E630:Q630"/>
    <mergeCell ref="D683:M683"/>
    <mergeCell ref="O683:P683"/>
    <mergeCell ref="Q683:R683"/>
    <mergeCell ref="D692:H692"/>
    <mergeCell ref="F687:H687"/>
    <mergeCell ref="K687:M687"/>
    <mergeCell ref="Q687:R687"/>
    <mergeCell ref="U687:V687"/>
    <mergeCell ref="F688:H688"/>
    <mergeCell ref="K688:M688"/>
    <mergeCell ref="Q688:R688"/>
    <mergeCell ref="U688:V688"/>
    <mergeCell ref="F689:H689"/>
    <mergeCell ref="K689:M689"/>
    <mergeCell ref="S683:T683"/>
    <mergeCell ref="U683:V683"/>
    <mergeCell ref="F684:H684"/>
    <mergeCell ref="K684:M684"/>
    <mergeCell ref="U689:V689"/>
    <mergeCell ref="O684:V684"/>
    <mergeCell ref="F685:H685"/>
    <mergeCell ref="K685:M685"/>
    <mergeCell ref="O685:R685"/>
    <mergeCell ref="S685:V685"/>
    <mergeCell ref="F686:H686"/>
    <mergeCell ref="K686:M686"/>
    <mergeCell ref="Q686:R686"/>
    <mergeCell ref="U686:V686"/>
    <mergeCell ref="I579:J580"/>
    <mergeCell ref="K579:K580"/>
    <mergeCell ref="U579:V580"/>
    <mergeCell ref="C581:V581"/>
    <mergeCell ref="F587:K588"/>
    <mergeCell ref="L587:L588"/>
    <mergeCell ref="D681:M681"/>
    <mergeCell ref="O681:V681"/>
    <mergeCell ref="D682:H682"/>
    <mergeCell ref="I682:M682"/>
    <mergeCell ref="E650:Q650"/>
    <mergeCell ref="E656:Q656"/>
    <mergeCell ref="E661:Q661"/>
    <mergeCell ref="O682:R682"/>
    <mergeCell ref="S682:V682"/>
    <mergeCell ref="E632:Q632"/>
    <mergeCell ref="E645:Q645"/>
    <mergeCell ref="E651:Q651"/>
    <mergeCell ref="M597:M598"/>
    <mergeCell ref="N597:N598"/>
    <mergeCell ref="O597:O598"/>
    <mergeCell ref="F597:K598"/>
    <mergeCell ref="L597:L598"/>
    <mergeCell ref="F600:J600"/>
    <mergeCell ref="E1001:Q1001"/>
    <mergeCell ref="F935:H935"/>
    <mergeCell ref="Q689:R689"/>
    <mergeCell ref="K750:L750"/>
    <mergeCell ref="E753:F753"/>
    <mergeCell ref="J753:J754"/>
    <mergeCell ref="E751:Q751"/>
    <mergeCell ref="D777:H777"/>
    <mergeCell ref="I777:M777"/>
    <mergeCell ref="D778:M778"/>
    <mergeCell ref="F779:H779"/>
    <mergeCell ref="K779:M779"/>
    <mergeCell ref="D803:O803"/>
    <mergeCell ref="J793:L793"/>
    <mergeCell ref="E800:F800"/>
    <mergeCell ref="E799:F799"/>
    <mergeCell ref="E798:F798"/>
    <mergeCell ref="E797:F797"/>
    <mergeCell ref="E705:Q705"/>
    <mergeCell ref="K742:N742"/>
    <mergeCell ref="E743:F743"/>
    <mergeCell ref="K743:L743"/>
    <mergeCell ref="M806:M807"/>
    <mergeCell ref="N806:N807"/>
    <mergeCell ref="E726:G726"/>
    <mergeCell ref="I726:K726"/>
    <mergeCell ref="E734:G734"/>
    <mergeCell ref="I734:J734"/>
    <mergeCell ref="L734:M734"/>
    <mergeCell ref="E735:G735"/>
    <mergeCell ref="E746:Q746"/>
    <mergeCell ref="E765:Q765"/>
    <mergeCell ref="E770:Q770"/>
    <mergeCell ref="D776:M776"/>
    <mergeCell ref="E805:H805"/>
    <mergeCell ref="J805:N805"/>
    <mergeCell ref="J806:J807"/>
    <mergeCell ref="K806:K807"/>
    <mergeCell ref="L806:L807"/>
    <mergeCell ref="E793:F793"/>
    <mergeCell ref="F780:H780"/>
    <mergeCell ref="K780:M780"/>
    <mergeCell ref="F781:H781"/>
    <mergeCell ref="K781:M781"/>
    <mergeCell ref="K871:Q873"/>
    <mergeCell ref="K874:Q874"/>
    <mergeCell ref="F876:K877"/>
    <mergeCell ref="L876:L877"/>
    <mergeCell ref="M876:M877"/>
    <mergeCell ref="N876:N877"/>
    <mergeCell ref="E796:F796"/>
    <mergeCell ref="E795:F795"/>
    <mergeCell ref="E794:F794"/>
    <mergeCell ref="F782:H782"/>
    <mergeCell ref="K782:M782"/>
    <mergeCell ref="S1225:T1226"/>
    <mergeCell ref="U1225:V1226"/>
    <mergeCell ref="E1123:Q1123"/>
    <mergeCell ref="K1127:L1127"/>
    <mergeCell ref="E1128:Q1128"/>
    <mergeCell ref="E1130:F1130"/>
    <mergeCell ref="J1130:J1131"/>
    <mergeCell ref="K1027:M1027"/>
    <mergeCell ref="O1027:P1028"/>
    <mergeCell ref="F1028:H1028"/>
    <mergeCell ref="K1028:M1028"/>
    <mergeCell ref="C1075:H1076"/>
    <mergeCell ref="I1075:J1076"/>
    <mergeCell ref="K1075:L1076"/>
    <mergeCell ref="M1075:N1076"/>
    <mergeCell ref="O1075:P1076"/>
    <mergeCell ref="E1070:Q1070"/>
    <mergeCell ref="F1027:H1027"/>
    <mergeCell ref="E1142:Q1142"/>
    <mergeCell ref="E1147:Q1147"/>
    <mergeCell ref="Q1075:R1076"/>
    <mergeCell ref="S1075:T1076"/>
    <mergeCell ref="U1075:V1076"/>
    <mergeCell ref="C1077:H1078"/>
    <mergeCell ref="E920:Q920"/>
    <mergeCell ref="K935:M935"/>
    <mergeCell ref="F936:H936"/>
    <mergeCell ref="K881:Q887"/>
    <mergeCell ref="K913:Q913"/>
    <mergeCell ref="K915:Q916"/>
    <mergeCell ref="K900:L900"/>
    <mergeCell ref="E901:Q901"/>
    <mergeCell ref="F933:H933"/>
    <mergeCell ref="K933:M933"/>
    <mergeCell ref="F934:H934"/>
    <mergeCell ref="K934:M934"/>
    <mergeCell ref="E925:Q925"/>
    <mergeCell ref="D930:M930"/>
    <mergeCell ref="D931:H931"/>
    <mergeCell ref="I931:M931"/>
    <mergeCell ref="D932:M932"/>
    <mergeCell ref="K936:M936"/>
    <mergeCell ref="D1022:M1022"/>
    <mergeCell ref="D1023:H1023"/>
    <mergeCell ref="I1023:M1023"/>
    <mergeCell ref="D1024:M1024"/>
    <mergeCell ref="F879:J879"/>
    <mergeCell ref="K879:Q879"/>
    <mergeCell ref="U1227:V1228"/>
    <mergeCell ref="C1229:V1229"/>
    <mergeCell ref="F1235:K1236"/>
    <mergeCell ref="L1235:L1236"/>
    <mergeCell ref="M1235:M1236"/>
    <mergeCell ref="N1235:N1236"/>
    <mergeCell ref="I1227:J1228"/>
    <mergeCell ref="K1227:K1228"/>
    <mergeCell ref="L1227:L1228"/>
    <mergeCell ref="M1227:M1228"/>
    <mergeCell ref="N1227:N1228"/>
    <mergeCell ref="O1227:O1228"/>
    <mergeCell ref="P1227:P1228"/>
    <mergeCell ref="Q1227:Q1228"/>
    <mergeCell ref="C1227:H1228"/>
    <mergeCell ref="R1227:R1228"/>
    <mergeCell ref="S1227:S1228"/>
    <mergeCell ref="T1227:T1228"/>
    <mergeCell ref="F1025:H1025"/>
    <mergeCell ref="K1025:M1025"/>
    <mergeCell ref="F1026:H1026"/>
    <mergeCell ref="K1026:M1026"/>
    <mergeCell ref="F1238:J1238"/>
    <mergeCell ref="K1238:Q1238"/>
    <mergeCell ref="K1240:Q1241"/>
    <mergeCell ref="F1245:K1246"/>
    <mergeCell ref="L1245:L1246"/>
    <mergeCell ref="M1245:M1246"/>
    <mergeCell ref="N1245:N1246"/>
    <mergeCell ref="O1245:O1246"/>
    <mergeCell ref="F1248:J1248"/>
    <mergeCell ref="K1248:Q1248"/>
    <mergeCell ref="E1280:Q1280"/>
    <mergeCell ref="E1285:Q1285"/>
    <mergeCell ref="E1290:Q1290"/>
    <mergeCell ref="E1291:Q1291"/>
    <mergeCell ref="E1296:Q1296"/>
    <mergeCell ref="E1301:Q1301"/>
    <mergeCell ref="E1302:Q1302"/>
    <mergeCell ref="K1250:Q1251"/>
    <mergeCell ref="E1258:Q1258"/>
    <mergeCell ref="E1259:Q1259"/>
    <mergeCell ref="E1264:Q1264"/>
    <mergeCell ref="E1265:Q1265"/>
    <mergeCell ref="E1270:Q1270"/>
    <mergeCell ref="E1275:Q1275"/>
    <mergeCell ref="D1308:M1308"/>
    <mergeCell ref="D1309:H1309"/>
    <mergeCell ref="I1309:M1309"/>
    <mergeCell ref="S1309:V1309"/>
    <mergeCell ref="D1310:M1310"/>
    <mergeCell ref="O1310:P1310"/>
    <mergeCell ref="Q1310:R1310"/>
    <mergeCell ref="S1310:T1310"/>
    <mergeCell ref="U1310:V1310"/>
    <mergeCell ref="F1314:H1314"/>
    <mergeCell ref="K1314:M1314"/>
    <mergeCell ref="Q1314:R1314"/>
    <mergeCell ref="U1314:V1314"/>
    <mergeCell ref="F1311:H1311"/>
    <mergeCell ref="K1311:M1311"/>
    <mergeCell ref="F1312:H1312"/>
    <mergeCell ref="K1312:M1312"/>
    <mergeCell ref="S1312:V1312"/>
    <mergeCell ref="F1313:H1313"/>
    <mergeCell ref="K1313:M1313"/>
    <mergeCell ref="Q1313:R1313"/>
    <mergeCell ref="E1328:Q1328"/>
    <mergeCell ref="D1317:H1317"/>
    <mergeCell ref="C1377:V1377"/>
    <mergeCell ref="C1379:V1379"/>
    <mergeCell ref="C1380:V1380"/>
    <mergeCell ref="C1381:H1382"/>
    <mergeCell ref="I1381:J1382"/>
    <mergeCell ref="K1381:L1382"/>
    <mergeCell ref="M1381:N1382"/>
    <mergeCell ref="O1381:P1382"/>
    <mergeCell ref="Q1381:R1382"/>
    <mergeCell ref="S1381:T1382"/>
    <mergeCell ref="U1381:V1382"/>
    <mergeCell ref="R1383:R1384"/>
    <mergeCell ref="S1383:S1384"/>
    <mergeCell ref="T1383:T1384"/>
    <mergeCell ref="U1383:V1384"/>
    <mergeCell ref="C1385:V1385"/>
    <mergeCell ref="F1391:K1392"/>
    <mergeCell ref="L1391:L1392"/>
    <mergeCell ref="M1391:M1392"/>
    <mergeCell ref="N1391:N1392"/>
    <mergeCell ref="I1383:J1384"/>
    <mergeCell ref="K1383:K1384"/>
    <mergeCell ref="L1383:L1384"/>
    <mergeCell ref="M1383:M1384"/>
    <mergeCell ref="N1383:N1384"/>
    <mergeCell ref="O1383:O1384"/>
    <mergeCell ref="P1383:P1384"/>
    <mergeCell ref="Q1383:Q1384"/>
    <mergeCell ref="C1383:H1384"/>
    <mergeCell ref="F1394:J1394"/>
    <mergeCell ref="K1394:Q1394"/>
    <mergeCell ref="K1396:Q1397"/>
    <mergeCell ref="F1401:K1402"/>
    <mergeCell ref="L1401:L1402"/>
    <mergeCell ref="M1401:M1402"/>
    <mergeCell ref="N1401:N1402"/>
    <mergeCell ref="O1401:O1402"/>
    <mergeCell ref="F1404:J1404"/>
    <mergeCell ref="K1404:Q1404"/>
    <mergeCell ref="O1478:R1478"/>
    <mergeCell ref="E1436:Q1436"/>
    <mergeCell ref="E1441:Q1441"/>
    <mergeCell ref="E1442:Q1442"/>
    <mergeCell ref="E1446:Q1446"/>
    <mergeCell ref="E1447:Q1447"/>
    <mergeCell ref="E1452:Q1452"/>
    <mergeCell ref="E1457:Q1457"/>
    <mergeCell ref="E1458:Q1458"/>
    <mergeCell ref="D1477:M1477"/>
    <mergeCell ref="E1501:Q1501"/>
    <mergeCell ref="F1484:H1484"/>
    <mergeCell ref="K1484:M1484"/>
    <mergeCell ref="Q1486:R1486"/>
    <mergeCell ref="Q1487:R1487"/>
    <mergeCell ref="U1487:V1487"/>
    <mergeCell ref="D1488:H1488"/>
    <mergeCell ref="S1479:T1479"/>
    <mergeCell ref="U1479:V1479"/>
    <mergeCell ref="D1479:M1479"/>
    <mergeCell ref="O1479:P1479"/>
    <mergeCell ref="Q1479:R1479"/>
    <mergeCell ref="F1480:H1480"/>
    <mergeCell ref="K1480:M1480"/>
    <mergeCell ref="F1481:H1481"/>
    <mergeCell ref="K1481:M1481"/>
    <mergeCell ref="F1482:H1482"/>
    <mergeCell ref="K1482:M1482"/>
    <mergeCell ref="Q1482:R1482"/>
    <mergeCell ref="U1482:V1482"/>
    <mergeCell ref="U1486:V1486"/>
    <mergeCell ref="F1485:H1485"/>
    <mergeCell ref="K1485:M1485"/>
    <mergeCell ref="F1483:H1483"/>
    <mergeCell ref="K1483:M1483"/>
    <mergeCell ref="Q1483:R1483"/>
    <mergeCell ref="U1483:V1483"/>
    <mergeCell ref="Q1484:R1484"/>
    <mergeCell ref="U1484:V1484"/>
    <mergeCell ref="Q1485:R1485"/>
    <mergeCell ref="U1485:V1485"/>
    <mergeCell ref="J798:M801"/>
    <mergeCell ref="J1174:M1177"/>
    <mergeCell ref="F866:K867"/>
    <mergeCell ref="L866:L867"/>
    <mergeCell ref="M866:M867"/>
    <mergeCell ref="N866:N867"/>
    <mergeCell ref="F869:J869"/>
    <mergeCell ref="K869:Q869"/>
    <mergeCell ref="D1478:H1478"/>
    <mergeCell ref="I1478:M1478"/>
    <mergeCell ref="K1406:Q1407"/>
    <mergeCell ref="E1414:Q1414"/>
    <mergeCell ref="E1415:Q1415"/>
    <mergeCell ref="E1420:Q1420"/>
    <mergeCell ref="E1421:Q1421"/>
    <mergeCell ref="E1426:Q1426"/>
    <mergeCell ref="E1431:Q1431"/>
    <mergeCell ref="O935:P936"/>
    <mergeCell ref="E1012:Q1012"/>
    <mergeCell ref="K971:L971"/>
    <mergeCell ref="E1002:Q1002"/>
    <mergeCell ref="E1007:Q1007"/>
    <mergeCell ref="K986:Q987"/>
    <mergeCell ref="E991:Q991"/>
    <mergeCell ref="E996:Q996"/>
    <mergeCell ref="E952:Q952"/>
    <mergeCell ref="E956:Q956"/>
    <mergeCell ref="E957:Q957"/>
    <mergeCell ref="E972:Q972"/>
    <mergeCell ref="K984:Q984"/>
  </mergeCells>
  <printOptions horizontalCentered="1"/>
  <pageMargins left="0.59055118110236227" right="0.59055118110236227" top="0.78740157480314965" bottom="0.59055118110236227" header="0.31496062992125984" footer="0.31496062992125984"/>
  <pageSetup paperSize="9" scale="32" fitToHeight="0" orientation="portrait" horizontalDpi="4294967293" r:id="rId1"/>
  <headerFooter>
    <oddFooter>&amp;RPágina &amp;P</oddFooter>
  </headerFooter>
  <rowBreaks count="9" manualBreakCount="9">
    <brk id="159" max="27" man="1"/>
    <brk id="333" max="27" man="1"/>
    <brk id="515" max="28" man="1"/>
    <brk id="551" max="28" man="1"/>
    <brk id="720" max="28" man="1"/>
    <brk id="886" max="28" man="1"/>
    <brk id="1065" max="28" man="1"/>
    <brk id="1219" max="28" man="1"/>
    <brk id="1398" max="28" man="1"/>
  </rowBreaks>
  <ignoredErrors>
    <ignoredError sqref="Q3:W3" numberStoredAsText="1"/>
  </ignoredErrors>
  <drawing r:id="rId2"/>
  <legacyDrawing r:id="rId3"/>
</worksheet>
</file>

<file path=xl/worksheets/sheet5.xml><?xml version="1.0" encoding="utf-8"?>
<worksheet xmlns="http://schemas.openxmlformats.org/spreadsheetml/2006/main" xmlns:r="http://schemas.openxmlformats.org/officeDocument/2006/relationships">
  <dimension ref="A1:I25"/>
  <sheetViews>
    <sheetView view="pageBreakPreview" zoomScale="90" zoomScaleNormal="100" zoomScaleSheetLayoutView="90" workbookViewId="0">
      <selection activeCell="I6" sqref="C6:I15"/>
    </sheetView>
  </sheetViews>
  <sheetFormatPr defaultRowHeight="14.25"/>
  <cols>
    <col min="1" max="1" width="9.42578125" style="843" customWidth="1"/>
    <col min="2" max="2" width="66.85546875" style="854" customWidth="1"/>
    <col min="3" max="4" width="14.7109375" style="843" bestFit="1" customWidth="1"/>
    <col min="5" max="5" width="14.85546875" style="843" bestFit="1" customWidth="1"/>
    <col min="6" max="6" width="14.7109375" style="843" bestFit="1" customWidth="1"/>
    <col min="7" max="8" width="16.42578125" style="843" bestFit="1" customWidth="1"/>
    <col min="9" max="9" width="16.42578125" style="854" bestFit="1" customWidth="1"/>
    <col min="10" max="10" width="12.140625" style="843" customWidth="1"/>
    <col min="11" max="16384" width="9.140625" style="843"/>
  </cols>
  <sheetData>
    <row r="1" spans="1:9" ht="99" customHeight="1">
      <c r="A1" s="1216"/>
      <c r="B1" s="1216"/>
      <c r="C1" s="1216"/>
      <c r="D1" s="1216"/>
      <c r="E1" s="1216"/>
      <c r="F1" s="1216"/>
      <c r="G1" s="1216"/>
      <c r="H1" s="1216"/>
      <c r="I1" s="1216"/>
    </row>
    <row r="2" spans="1:9" ht="23.25" customHeight="1">
      <c r="A2" s="1214" t="s">
        <v>1467</v>
      </c>
      <c r="B2" s="1214"/>
      <c r="C2" s="1214"/>
      <c r="D2" s="1214"/>
      <c r="E2" s="1214"/>
      <c r="F2" s="1214"/>
      <c r="G2" s="1214"/>
      <c r="H2" s="1214"/>
      <c r="I2" s="1214"/>
    </row>
    <row r="3" spans="1:9" ht="36.75" customHeight="1">
      <c r="A3" s="844" t="s">
        <v>1468</v>
      </c>
      <c r="B3" s="1219" t="str">
        <f>PLANILHA!B3</f>
        <v>Contratação de empresa especializada na execução de reservatório de 500m³ e obras hidráulicas no Bairro Jardim 2000, no município de Itápolis/SP, com o fornecimento de material, equipamentos e mão de obra qualificada.</v>
      </c>
      <c r="C3" s="1220"/>
      <c r="D3" s="1220"/>
      <c r="E3" s="1220"/>
      <c r="F3" s="1220"/>
      <c r="G3" s="1220"/>
      <c r="H3" s="1220"/>
      <c r="I3" s="1221"/>
    </row>
    <row r="4" spans="1:9" ht="21.75" customHeight="1">
      <c r="A4" s="844" t="str">
        <f>+SINTÉTICA!A4</f>
        <v>Local:</v>
      </c>
      <c r="B4" s="1222" t="str">
        <f>+SINTÉTICA!B4:E4</f>
        <v>ÁREA URBANA DO MUNICÍPIO DE ITAPOLIS - SP</v>
      </c>
      <c r="C4" s="1223"/>
      <c r="D4" s="1223"/>
      <c r="E4" s="1223"/>
      <c r="F4" s="1223"/>
      <c r="G4" s="1224"/>
      <c r="H4" s="845" t="s">
        <v>1479</v>
      </c>
      <c r="I4" s="846">
        <v>45352</v>
      </c>
    </row>
    <row r="5" spans="1:9" ht="18" customHeight="1">
      <c r="A5" s="844" t="s">
        <v>1469</v>
      </c>
      <c r="B5" s="844" t="s">
        <v>1470</v>
      </c>
      <c r="C5" s="844" t="s">
        <v>1471</v>
      </c>
      <c r="D5" s="844" t="s">
        <v>1472</v>
      </c>
      <c r="E5" s="844" t="s">
        <v>1473</v>
      </c>
      <c r="F5" s="844" t="s">
        <v>1474</v>
      </c>
      <c r="G5" s="844" t="s">
        <v>1475</v>
      </c>
      <c r="H5" s="844" t="s">
        <v>1476</v>
      </c>
      <c r="I5" s="844" t="s">
        <v>1477</v>
      </c>
    </row>
    <row r="6" spans="1:9" ht="14.25" customHeight="1">
      <c r="A6" s="1211">
        <v>1</v>
      </c>
      <c r="B6" s="1217" t="str">
        <f>SINTÉTICA!B7</f>
        <v>SERVIÇOS PRELIMINARES</v>
      </c>
      <c r="C6" s="847"/>
      <c r="D6" s="847"/>
      <c r="E6" s="847"/>
      <c r="F6" s="847"/>
      <c r="G6" s="847"/>
      <c r="H6" s="847"/>
      <c r="I6" s="1207"/>
    </row>
    <row r="7" spans="1:9" ht="6" customHeight="1">
      <c r="A7" s="1212"/>
      <c r="B7" s="1218"/>
      <c r="C7" s="848"/>
      <c r="D7" s="848"/>
      <c r="E7" s="848"/>
      <c r="F7" s="848"/>
      <c r="G7" s="848"/>
      <c r="H7" s="848"/>
      <c r="I7" s="1208"/>
    </row>
    <row r="8" spans="1:9" ht="13.5" customHeight="1">
      <c r="A8" s="1211">
        <v>2</v>
      </c>
      <c r="B8" s="1209" t="str">
        <f>SINTÉTICA!B8</f>
        <v>IMPLANTAÇÃO DE RESERVATÓRIO METÁLICO 500M³</v>
      </c>
      <c r="C8" s="847"/>
      <c r="D8" s="847"/>
      <c r="E8" s="847"/>
      <c r="F8" s="847"/>
      <c r="G8" s="847"/>
      <c r="H8" s="847"/>
      <c r="I8" s="1207"/>
    </row>
    <row r="9" spans="1:9" ht="6.75" customHeight="1">
      <c r="A9" s="1212"/>
      <c r="B9" s="1210"/>
      <c r="C9" s="848"/>
      <c r="D9" s="848"/>
      <c r="E9" s="848"/>
      <c r="F9" s="848"/>
      <c r="G9" s="848"/>
      <c r="H9" s="848"/>
      <c r="I9" s="1208"/>
    </row>
    <row r="10" spans="1:9" ht="13.5" customHeight="1">
      <c r="A10" s="1211">
        <v>3</v>
      </c>
      <c r="B10" s="1209" t="str">
        <f>SINTÉTICA!B9</f>
        <v>INSTALAÇÕES HIDRÁULICAS</v>
      </c>
      <c r="C10" s="847"/>
      <c r="D10" s="847"/>
      <c r="E10" s="847"/>
      <c r="F10" s="847"/>
      <c r="G10" s="847"/>
      <c r="H10" s="847"/>
      <c r="I10" s="1207"/>
    </row>
    <row r="11" spans="1:9" ht="6.75" customHeight="1">
      <c r="A11" s="1212"/>
      <c r="B11" s="1210"/>
      <c r="C11" s="849"/>
      <c r="D11" s="849"/>
      <c r="E11" s="849"/>
      <c r="F11" s="849"/>
      <c r="G11" s="848"/>
      <c r="H11" s="848"/>
      <c r="I11" s="1208"/>
    </row>
    <row r="12" spans="1:9" ht="25.5" customHeight="1">
      <c r="A12" s="1211">
        <v>4</v>
      </c>
      <c r="B12" s="1225" t="str">
        <f>SINTÉTICA!B10</f>
        <v>READEQUAÇÃO DE SISTEMA DE AUTOMAÇÃO O MONITORAMENTO DO NÍVEL DO RESERVATÓRIO DE 500M³</v>
      </c>
      <c r="C12" s="850"/>
      <c r="D12" s="850"/>
      <c r="E12" s="850"/>
      <c r="F12" s="850"/>
      <c r="G12" s="850"/>
      <c r="H12" s="850"/>
      <c r="I12" s="1207"/>
    </row>
    <row r="13" spans="1:9" ht="6.75" customHeight="1">
      <c r="A13" s="1212"/>
      <c r="B13" s="1210"/>
      <c r="C13" s="849"/>
      <c r="D13" s="849"/>
      <c r="E13" s="849"/>
      <c r="F13" s="849"/>
      <c r="G13" s="849"/>
      <c r="H13" s="848"/>
      <c r="I13" s="1208"/>
    </row>
    <row r="14" spans="1:9" ht="37.5" customHeight="1">
      <c r="A14" s="1211">
        <v>5</v>
      </c>
      <c r="B14" s="1209" t="str">
        <f>SINTÉTICA!B11</f>
        <v>MEDIÇÕES DE PARÂMETROS ELÉTRICOS E HIDRÁULICOS DO MOTOR-BOMBA DO POÇO 06 PROFUNDO, COM RELATÓRIOS DE EFICIÊNCIA ENERGÉTICA</v>
      </c>
      <c r="C14" s="847"/>
      <c r="D14" s="847"/>
      <c r="E14" s="847"/>
      <c r="F14" s="847"/>
      <c r="G14" s="847"/>
      <c r="H14" s="847"/>
      <c r="I14" s="1207"/>
    </row>
    <row r="15" spans="1:9" ht="6.75" customHeight="1">
      <c r="A15" s="1212"/>
      <c r="B15" s="1210"/>
      <c r="C15" s="849"/>
      <c r="D15" s="849"/>
      <c r="E15" s="849"/>
      <c r="F15" s="848"/>
      <c r="G15" s="849"/>
      <c r="H15" s="849"/>
      <c r="I15" s="1208"/>
    </row>
    <row r="16" spans="1:9" ht="12.75" customHeight="1">
      <c r="A16" s="1214" t="s">
        <v>1553</v>
      </c>
      <c r="B16" s="1214"/>
      <c r="C16" s="851">
        <f t="shared" ref="C16:I16" si="0">+SUM(C6:C15)</f>
        <v>0</v>
      </c>
      <c r="D16" s="851">
        <f t="shared" si="0"/>
        <v>0</v>
      </c>
      <c r="E16" s="851">
        <f t="shared" si="0"/>
        <v>0</v>
      </c>
      <c r="F16" s="851">
        <f t="shared" si="0"/>
        <v>0</v>
      </c>
      <c r="G16" s="851">
        <f t="shared" si="0"/>
        <v>0</v>
      </c>
      <c r="H16" s="851">
        <f t="shared" si="0"/>
        <v>0</v>
      </c>
      <c r="I16" s="851">
        <f t="shared" si="0"/>
        <v>0</v>
      </c>
    </row>
    <row r="17" spans="1:9" ht="12.75" customHeight="1">
      <c r="A17" s="1213" t="s">
        <v>1478</v>
      </c>
      <c r="B17" s="1213"/>
      <c r="C17" s="852" t="e">
        <f>+C16/$I$16</f>
        <v>#DIV/0!</v>
      </c>
      <c r="D17" s="852" t="e">
        <f t="shared" ref="D17:H17" si="1">+D16/$I$16</f>
        <v>#DIV/0!</v>
      </c>
      <c r="E17" s="852" t="e">
        <f t="shared" si="1"/>
        <v>#DIV/0!</v>
      </c>
      <c r="F17" s="852" t="e">
        <f t="shared" si="1"/>
        <v>#DIV/0!</v>
      </c>
      <c r="G17" s="852" t="e">
        <f t="shared" si="1"/>
        <v>#DIV/0!</v>
      </c>
      <c r="H17" s="852" t="e">
        <f t="shared" si="1"/>
        <v>#DIV/0!</v>
      </c>
      <c r="I17" s="1227" t="e">
        <f>+SUM(C17:H17)</f>
        <v>#DIV/0!</v>
      </c>
    </row>
    <row r="18" spans="1:9" ht="15" customHeight="1">
      <c r="A18" s="1226" t="s">
        <v>1552</v>
      </c>
      <c r="B18" s="1226"/>
      <c r="C18" s="853">
        <f>+C16</f>
        <v>0</v>
      </c>
      <c r="D18" s="853">
        <f>+C18+D16</f>
        <v>0</v>
      </c>
      <c r="E18" s="853">
        <f>+E16+D18</f>
        <v>0</v>
      </c>
      <c r="F18" s="853">
        <f>+F16+E18</f>
        <v>0</v>
      </c>
      <c r="G18" s="853">
        <f>+G16+F18</f>
        <v>0</v>
      </c>
      <c r="H18" s="853">
        <f>+H16+G18</f>
        <v>0</v>
      </c>
      <c r="I18" s="1228"/>
    </row>
    <row r="19" spans="1:9" ht="6.75" customHeight="1">
      <c r="A19" s="1215"/>
      <c r="B19" s="1215"/>
      <c r="C19" s="1215"/>
      <c r="D19" s="1215"/>
      <c r="E19" s="1215"/>
      <c r="F19" s="1215"/>
      <c r="G19" s="1215"/>
      <c r="H19" s="1215"/>
      <c r="I19" s="1215"/>
    </row>
    <row r="20" spans="1:9" ht="15.75" customHeight="1">
      <c r="B20" s="842" t="str">
        <f>+SINTÉTICA!B16</f>
        <v>Itapólis, 23 de maio de 2024</v>
      </c>
    </row>
    <row r="21" spans="1:9" ht="15.75" customHeight="1">
      <c r="B21" s="842"/>
    </row>
    <row r="22" spans="1:9" ht="15.75" customHeight="1">
      <c r="B22" s="842"/>
    </row>
    <row r="23" spans="1:9" ht="15">
      <c r="B23" s="837" t="s">
        <v>1689</v>
      </c>
    </row>
    <row r="24" spans="1:9" ht="15">
      <c r="B24" s="838" t="s">
        <v>1690</v>
      </c>
    </row>
    <row r="25" spans="1:9" ht="15">
      <c r="B25" s="838" t="s">
        <v>1691</v>
      </c>
    </row>
  </sheetData>
  <mergeCells count="24">
    <mergeCell ref="A19:I19"/>
    <mergeCell ref="A1:I1"/>
    <mergeCell ref="A6:A7"/>
    <mergeCell ref="B6:B7"/>
    <mergeCell ref="I8:I9"/>
    <mergeCell ref="I10:I11"/>
    <mergeCell ref="A2:I2"/>
    <mergeCell ref="B3:I3"/>
    <mergeCell ref="B4:G4"/>
    <mergeCell ref="I6:I7"/>
    <mergeCell ref="B8:B9"/>
    <mergeCell ref="I14:I15"/>
    <mergeCell ref="B12:B13"/>
    <mergeCell ref="A8:A9"/>
    <mergeCell ref="A18:B18"/>
    <mergeCell ref="I17:I18"/>
    <mergeCell ref="I12:I13"/>
    <mergeCell ref="B10:B11"/>
    <mergeCell ref="A10:A11"/>
    <mergeCell ref="A17:B17"/>
    <mergeCell ref="A14:A15"/>
    <mergeCell ref="A12:A13"/>
    <mergeCell ref="A16:B16"/>
    <mergeCell ref="B14:B15"/>
  </mergeCells>
  <printOptions horizontalCentered="1"/>
  <pageMargins left="0.31496062992125984" right="0.31496062992125984" top="0.39370078740157483" bottom="0.59055118110236227" header="0" footer="0"/>
  <pageSetup paperSize="9" scale="72" orientation="landscape" r:id="rId1"/>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sheetPr codeName="Plan3"/>
  <dimension ref="A1:AMK45"/>
  <sheetViews>
    <sheetView view="pageBreakPreview" topLeftCell="A4" zoomScale="85" zoomScaleNormal="100" zoomScaleSheetLayoutView="85" workbookViewId="0">
      <selection activeCell="E19" sqref="E19"/>
    </sheetView>
  </sheetViews>
  <sheetFormatPr defaultRowHeight="12.75"/>
  <cols>
    <col min="1" max="1" width="30.7109375" style="50" customWidth="1"/>
    <col min="2" max="2" width="10.7109375" style="50" customWidth="1"/>
    <col min="3" max="3" width="3.85546875" style="50" customWidth="1"/>
    <col min="4" max="4" width="5.7109375" style="50" customWidth="1"/>
    <col min="5" max="5" width="10.7109375" style="50" customWidth="1"/>
    <col min="6" max="6" width="9.140625" style="50" customWidth="1"/>
    <col min="7" max="7" width="5.7109375" style="50" customWidth="1"/>
    <col min="8" max="8" width="12.7109375" style="50" customWidth="1"/>
    <col min="9" max="9" width="4.85546875" style="50" customWidth="1"/>
    <col min="10" max="10" width="33.5703125" style="50" customWidth="1"/>
    <col min="11" max="12" width="8" style="50" customWidth="1"/>
    <col min="13" max="13" width="10.140625" style="50" customWidth="1"/>
    <col min="14" max="1025" width="9.140625" style="50" customWidth="1"/>
    <col min="1026" max="16384" width="9.140625" style="51"/>
  </cols>
  <sheetData>
    <row r="1" spans="1:14" ht="61.5" customHeight="1">
      <c r="A1" s="1247"/>
      <c r="B1" s="1247"/>
      <c r="C1" s="1247"/>
      <c r="D1" s="1247"/>
      <c r="E1" s="1247"/>
      <c r="F1" s="1247"/>
      <c r="G1" s="1247"/>
      <c r="H1" s="1247"/>
      <c r="I1" s="1247"/>
      <c r="J1" s="1247"/>
      <c r="K1" s="1247"/>
      <c r="L1" s="1247"/>
      <c r="M1" s="1247"/>
    </row>
    <row r="2" spans="1:14" ht="27.75" customHeight="1">
      <c r="A2" s="1249" t="s">
        <v>99</v>
      </c>
      <c r="B2" s="1249"/>
      <c r="C2" s="1249"/>
      <c r="D2" s="1249"/>
      <c r="E2" s="1249"/>
      <c r="F2" s="1249"/>
      <c r="G2" s="1249"/>
      <c r="H2" s="1249"/>
      <c r="I2" s="1249"/>
      <c r="J2" s="1249"/>
      <c r="K2" s="1249"/>
      <c r="L2" s="1249"/>
      <c r="M2" s="1249"/>
    </row>
    <row r="3" spans="1:14" ht="20.100000000000001" customHeight="1">
      <c r="A3" s="1250" t="s">
        <v>132</v>
      </c>
      <c r="B3" s="1250"/>
      <c r="C3" s="1250"/>
      <c r="D3" s="1250"/>
      <c r="E3" s="1250"/>
      <c r="F3" s="1250"/>
      <c r="G3" s="1250"/>
      <c r="H3" s="1250"/>
      <c r="I3" s="1250"/>
      <c r="J3" s="1250"/>
      <c r="K3" s="1250"/>
      <c r="L3" s="1250"/>
      <c r="M3" s="1250"/>
    </row>
    <row r="4" spans="1:14">
      <c r="A4" s="1232" t="str">
        <f>PLANILHA!B3</f>
        <v>Contratação de empresa especializada na execução de reservatório de 500m³ e obras hidráulicas no Bairro Jardim 2000, no município de Itápolis/SP, com o fornecimento de material, equipamentos e mão de obra qualificada.</v>
      </c>
      <c r="B4" s="1233"/>
      <c r="C4" s="1233"/>
      <c r="D4" s="1233"/>
      <c r="E4" s="1233"/>
      <c r="F4" s="1233"/>
      <c r="G4" s="1233"/>
      <c r="H4" s="1233"/>
      <c r="I4" s="1233"/>
      <c r="J4" s="1233"/>
      <c r="K4" s="1233"/>
      <c r="L4" s="1233"/>
      <c r="M4" s="1233"/>
    </row>
    <row r="5" spans="1:14" ht="25.5" customHeight="1">
      <c r="A5" s="1232"/>
      <c r="B5" s="1233"/>
      <c r="C5" s="1233"/>
      <c r="D5" s="1233"/>
      <c r="E5" s="1233"/>
      <c r="F5" s="1233"/>
      <c r="G5" s="1233"/>
      <c r="H5" s="1233"/>
      <c r="I5" s="1233"/>
      <c r="J5" s="1233"/>
      <c r="K5" s="1233"/>
      <c r="L5" s="1233"/>
      <c r="M5" s="1233"/>
    </row>
    <row r="6" spans="1:14">
      <c r="A6" s="1231" t="s">
        <v>50</v>
      </c>
      <c r="B6" s="1231"/>
      <c r="C6" s="71"/>
      <c r="D6" s="1231" t="s">
        <v>50</v>
      </c>
      <c r="E6" s="1231"/>
      <c r="F6" s="1231"/>
      <c r="G6" s="1231"/>
      <c r="H6" s="1231"/>
      <c r="I6" s="71"/>
      <c r="J6" s="1229" t="s">
        <v>51</v>
      </c>
      <c r="K6" s="1229"/>
      <c r="L6" s="1229"/>
      <c r="M6" s="1229"/>
    </row>
    <row r="7" spans="1:14">
      <c r="A7" s="71"/>
      <c r="B7" s="71"/>
      <c r="C7" s="71"/>
      <c r="D7" s="1234" t="s">
        <v>52</v>
      </c>
      <c r="E7" s="1234"/>
      <c r="F7" s="71"/>
      <c r="G7" s="1235" t="s">
        <v>52</v>
      </c>
      <c r="H7" s="1235"/>
      <c r="I7" s="71"/>
      <c r="J7" s="1229" t="s">
        <v>53</v>
      </c>
      <c r="K7" s="1229"/>
      <c r="L7" s="1229"/>
      <c r="M7" s="1229"/>
    </row>
    <row r="8" spans="1:14" ht="15" customHeight="1">
      <c r="A8" s="776" t="s">
        <v>54</v>
      </c>
      <c r="B8" s="777" t="s">
        <v>55</v>
      </c>
      <c r="C8" s="71"/>
      <c r="D8" s="1248" t="s">
        <v>56</v>
      </c>
      <c r="E8" s="1248"/>
      <c r="F8" s="71"/>
      <c r="G8" s="1240" t="s">
        <v>57</v>
      </c>
      <c r="H8" s="1240"/>
      <c r="I8" s="71"/>
      <c r="J8" s="71"/>
      <c r="K8" s="778" t="s">
        <v>58</v>
      </c>
      <c r="L8" s="778" t="s">
        <v>59</v>
      </c>
      <c r="M8" s="778" t="s">
        <v>60</v>
      </c>
    </row>
    <row r="9" spans="1:14">
      <c r="A9" s="52" t="s">
        <v>61</v>
      </c>
      <c r="B9" s="53" t="s">
        <v>62</v>
      </c>
      <c r="C9" s="71"/>
      <c r="D9" s="54" t="s">
        <v>62</v>
      </c>
      <c r="E9" s="779">
        <v>4.3499999999999997E-2</v>
      </c>
      <c r="F9" s="71"/>
      <c r="G9" s="733" t="s">
        <v>62</v>
      </c>
      <c r="H9" s="780">
        <f>L9</f>
        <v>4.9299999999999997E-2</v>
      </c>
      <c r="I9" s="71"/>
      <c r="J9" s="781" t="s">
        <v>63</v>
      </c>
      <c r="K9" s="782">
        <v>3.4299999999999997E-2</v>
      </c>
      <c r="L9" s="782">
        <v>4.9299999999999997E-2</v>
      </c>
      <c r="M9" s="782">
        <v>6.7100000000000007E-2</v>
      </c>
    </row>
    <row r="10" spans="1:14">
      <c r="A10" s="55" t="s">
        <v>64</v>
      </c>
      <c r="B10" s="56" t="s">
        <v>65</v>
      </c>
      <c r="C10" s="71"/>
      <c r="D10" s="57" t="s">
        <v>65</v>
      </c>
      <c r="E10" s="58">
        <v>4.4999999999999997E-3</v>
      </c>
      <c r="F10" s="71"/>
      <c r="G10" s="733" t="s">
        <v>65</v>
      </c>
      <c r="H10" s="734">
        <f>L10</f>
        <v>4.8999999999999998E-3</v>
      </c>
      <c r="I10" s="71"/>
      <c r="J10" s="783" t="s">
        <v>66</v>
      </c>
      <c r="K10" s="784">
        <v>2.8E-3</v>
      </c>
      <c r="L10" s="784">
        <v>4.8999999999999998E-3</v>
      </c>
      <c r="M10" s="784">
        <v>7.4999999999999997E-3</v>
      </c>
    </row>
    <row r="11" spans="1:14">
      <c r="A11" s="52" t="s">
        <v>67</v>
      </c>
      <c r="B11" s="53" t="s">
        <v>68</v>
      </c>
      <c r="C11" s="71"/>
      <c r="D11" s="54" t="s">
        <v>68</v>
      </c>
      <c r="E11" s="59">
        <v>1.3899999999999999E-2</v>
      </c>
      <c r="F11" s="71"/>
      <c r="G11" s="733" t="s">
        <v>68</v>
      </c>
      <c r="H11" s="734">
        <f>L11</f>
        <v>1.3899999999999999E-2</v>
      </c>
      <c r="I11" s="71"/>
      <c r="J11" s="785" t="s">
        <v>69</v>
      </c>
      <c r="K11" s="782">
        <v>0.01</v>
      </c>
      <c r="L11" s="782">
        <v>1.3899999999999999E-2</v>
      </c>
      <c r="M11" s="782">
        <v>1.7399999999999999E-2</v>
      </c>
    </row>
    <row r="12" spans="1:14">
      <c r="A12" s="55" t="s">
        <v>70</v>
      </c>
      <c r="B12" s="56" t="s">
        <v>71</v>
      </c>
      <c r="C12" s="71"/>
      <c r="D12" s="60" t="s">
        <v>71</v>
      </c>
      <c r="E12" s="61">
        <v>9.9000000000000008E-3</v>
      </c>
      <c r="F12" s="71"/>
      <c r="G12" s="735" t="s">
        <v>71</v>
      </c>
      <c r="H12" s="736">
        <f>L12</f>
        <v>9.9000000000000008E-3</v>
      </c>
      <c r="I12" s="71"/>
      <c r="J12" s="783" t="s">
        <v>72</v>
      </c>
      <c r="K12" s="784">
        <v>9.4000000000000004E-3</v>
      </c>
      <c r="L12" s="784">
        <v>9.9000000000000008E-3</v>
      </c>
      <c r="M12" s="784">
        <v>1.17E-2</v>
      </c>
    </row>
    <row r="13" spans="1:14" s="62" customFormat="1" ht="11.25">
      <c r="A13" s="52" t="s">
        <v>73</v>
      </c>
      <c r="B13" s="53" t="s">
        <v>74</v>
      </c>
      <c r="C13" s="786"/>
      <c r="D13" s="63" t="s">
        <v>74</v>
      </c>
      <c r="E13" s="64">
        <v>8.0399999999999999E-2</v>
      </c>
      <c r="F13" s="786"/>
      <c r="G13" s="735" t="s">
        <v>74</v>
      </c>
      <c r="H13" s="736">
        <f>L13</f>
        <v>8.0399999999999999E-2</v>
      </c>
      <c r="I13" s="786"/>
      <c r="J13" s="785" t="s">
        <v>75</v>
      </c>
      <c r="K13" s="782">
        <v>6.7400000000000002E-2</v>
      </c>
      <c r="L13" s="782">
        <v>8.0399999999999999E-2</v>
      </c>
      <c r="M13" s="782">
        <v>9.4E-2</v>
      </c>
      <c r="N13" s="50"/>
    </row>
    <row r="14" spans="1:14" s="62" customFormat="1" ht="11.25">
      <c r="A14" s="65" t="s">
        <v>76</v>
      </c>
      <c r="B14" s="66"/>
      <c r="C14" s="786"/>
      <c r="D14" s="60" t="s">
        <v>77</v>
      </c>
      <c r="E14" s="61">
        <v>3.6499999999999998E-2</v>
      </c>
      <c r="F14" s="786"/>
      <c r="G14" s="735" t="s">
        <v>77</v>
      </c>
      <c r="H14" s="736">
        <v>3.6499999999999998E-2</v>
      </c>
      <c r="I14" s="786"/>
      <c r="J14" s="71"/>
      <c r="K14" s="71"/>
      <c r="L14" s="71"/>
      <c r="M14" s="71"/>
      <c r="N14" s="50"/>
    </row>
    <row r="15" spans="1:14">
      <c r="A15" s="52" t="s">
        <v>78</v>
      </c>
      <c r="B15" s="53" t="s">
        <v>77</v>
      </c>
      <c r="C15" s="71"/>
      <c r="D15" s="63" t="s">
        <v>79</v>
      </c>
      <c r="E15" s="775">
        <v>0.03</v>
      </c>
      <c r="F15" s="786"/>
      <c r="G15" s="735" t="s">
        <v>79</v>
      </c>
      <c r="H15" s="736">
        <f>E15</f>
        <v>0.03</v>
      </c>
      <c r="I15" s="71"/>
      <c r="J15" s="71"/>
      <c r="K15" s="71"/>
      <c r="L15" s="71"/>
      <c r="M15" s="71"/>
    </row>
    <row r="16" spans="1:14">
      <c r="A16" s="67" t="s">
        <v>79</v>
      </c>
      <c r="B16" s="66" t="s">
        <v>79</v>
      </c>
      <c r="C16" s="71"/>
      <c r="D16" s="60" t="s">
        <v>80</v>
      </c>
      <c r="E16" s="61">
        <v>0</v>
      </c>
      <c r="F16" s="786"/>
      <c r="G16" s="735" t="s">
        <v>80</v>
      </c>
      <c r="H16" s="736">
        <v>0.02</v>
      </c>
      <c r="I16" s="71"/>
      <c r="J16" s="1241" t="s">
        <v>81</v>
      </c>
      <c r="K16" s="1241"/>
      <c r="L16" s="1241"/>
      <c r="M16" s="1241"/>
    </row>
    <row r="17" spans="1:13" s="51" customFormat="1">
      <c r="A17" s="52" t="s">
        <v>82</v>
      </c>
      <c r="B17" s="53" t="s">
        <v>80</v>
      </c>
      <c r="C17" s="71"/>
      <c r="D17" s="54" t="s">
        <v>83</v>
      </c>
      <c r="E17" s="59">
        <f>E16+E15+E14</f>
        <v>6.6500000000000004E-2</v>
      </c>
      <c r="F17" s="786"/>
      <c r="G17" s="733" t="s">
        <v>83</v>
      </c>
      <c r="H17" s="734">
        <f>H16+H15+H14</f>
        <v>8.6499999999999994E-2</v>
      </c>
      <c r="I17" s="71"/>
      <c r="J17" s="71"/>
      <c r="K17" s="778" t="s">
        <v>58</v>
      </c>
      <c r="L17" s="778" t="s">
        <v>59</v>
      </c>
      <c r="M17" s="778" t="s">
        <v>60</v>
      </c>
    </row>
    <row r="18" spans="1:13" s="51" customFormat="1">
      <c r="A18" s="68" t="s">
        <v>84</v>
      </c>
      <c r="B18" s="66" t="s">
        <v>83</v>
      </c>
      <c r="C18" s="71"/>
      <c r="D18" s="1248" t="s">
        <v>85</v>
      </c>
      <c r="E18" s="787"/>
      <c r="F18" s="71"/>
      <c r="G18" s="1240" t="s">
        <v>85</v>
      </c>
      <c r="H18" s="788"/>
      <c r="I18" s="71"/>
      <c r="J18" s="71"/>
      <c r="K18" s="782">
        <v>0.20760000000000001</v>
      </c>
      <c r="L18" s="782">
        <v>0.24179999999999999</v>
      </c>
      <c r="M18" s="782">
        <v>0.26440000000000002</v>
      </c>
    </row>
    <row r="19" spans="1:13" s="51" customFormat="1">
      <c r="A19" s="1245" t="s">
        <v>86</v>
      </c>
      <c r="B19" s="1245"/>
      <c r="C19" s="71"/>
      <c r="D19" s="1248"/>
      <c r="E19" s="69">
        <f>(((1+E9+E10+E11)*(1+E12)*(1+E13))/(1-E17))-1</f>
        <v>0.24117279049169804</v>
      </c>
      <c r="F19" s="71"/>
      <c r="G19" s="1240"/>
      <c r="H19" s="737">
        <f>(((1+H9+H10+H11)*(1+H12)*(1+H13))/(1-H17))-1</f>
        <v>0.27575215640503536</v>
      </c>
      <c r="I19" s="71"/>
      <c r="J19" s="71"/>
      <c r="K19" s="71"/>
      <c r="L19" s="71"/>
      <c r="M19" s="71"/>
    </row>
    <row r="20" spans="1:13" s="51" customFormat="1">
      <c r="A20" s="1246" t="s">
        <v>133</v>
      </c>
      <c r="B20" s="1246"/>
      <c r="C20" s="71"/>
      <c r="D20" s="1248"/>
      <c r="E20" s="70"/>
      <c r="F20" s="71"/>
      <c r="G20" s="1240"/>
      <c r="H20" s="738"/>
      <c r="I20" s="71"/>
      <c r="J20" s="71"/>
      <c r="K20" s="71"/>
      <c r="L20" s="71"/>
      <c r="M20" s="71"/>
    </row>
    <row r="21" spans="1:13" s="51" customFormat="1">
      <c r="A21" s="1230" t="s">
        <v>87</v>
      </c>
      <c r="B21" s="1230"/>
      <c r="C21" s="71"/>
      <c r="D21" s="71"/>
      <c r="E21" s="71"/>
      <c r="F21" s="71"/>
      <c r="G21" s="71"/>
      <c r="H21" s="71"/>
      <c r="I21" s="71"/>
      <c r="J21" s="71"/>
      <c r="K21" s="71"/>
      <c r="L21" s="71"/>
      <c r="M21" s="71"/>
    </row>
    <row r="22" spans="1:13" s="51" customFormat="1">
      <c r="A22" s="71"/>
      <c r="B22" s="71"/>
      <c r="C22" s="71"/>
      <c r="D22" s="71"/>
      <c r="E22" s="71"/>
      <c r="F22" s="71"/>
      <c r="G22" s="71"/>
      <c r="H22" s="71"/>
      <c r="I22" s="71"/>
      <c r="J22" s="71"/>
      <c r="K22" s="71"/>
      <c r="L22" s="71"/>
      <c r="M22" s="71"/>
    </row>
    <row r="23" spans="1:13" s="51" customFormat="1">
      <c r="A23" s="1231" t="s">
        <v>88</v>
      </c>
      <c r="B23" s="1231"/>
      <c r="C23" s="71"/>
      <c r="D23" s="1231" t="s">
        <v>89</v>
      </c>
      <c r="E23" s="1231"/>
      <c r="F23" s="1231"/>
      <c r="G23" s="1231"/>
      <c r="H23" s="1231"/>
      <c r="I23" s="71"/>
      <c r="J23" s="71"/>
      <c r="K23" s="71"/>
      <c r="L23" s="71"/>
      <c r="M23" s="71"/>
    </row>
    <row r="24" spans="1:13" s="51" customFormat="1">
      <c r="A24" s="71"/>
      <c r="B24" s="71"/>
      <c r="C24" s="71"/>
      <c r="D24" s="1234" t="s">
        <v>52</v>
      </c>
      <c r="E24" s="1234"/>
      <c r="F24" s="71"/>
      <c r="G24" s="1235" t="s">
        <v>52</v>
      </c>
      <c r="H24" s="1235"/>
      <c r="I24" s="71"/>
      <c r="J24" s="1229" t="s">
        <v>90</v>
      </c>
      <c r="K24" s="1229"/>
      <c r="L24" s="1229"/>
      <c r="M24" s="1229"/>
    </row>
    <row r="25" spans="1:13" s="51" customFormat="1">
      <c r="A25" s="776" t="s">
        <v>54</v>
      </c>
      <c r="B25" s="777" t="s">
        <v>55</v>
      </c>
      <c r="C25" s="71"/>
      <c r="D25" s="1238" t="s">
        <v>56</v>
      </c>
      <c r="E25" s="1239"/>
      <c r="F25" s="71"/>
      <c r="G25" s="1240" t="s">
        <v>57</v>
      </c>
      <c r="H25" s="1240"/>
      <c r="I25" s="71"/>
      <c r="J25" s="71"/>
      <c r="K25" s="778" t="s">
        <v>58</v>
      </c>
      <c r="L25" s="778" t="s">
        <v>59</v>
      </c>
      <c r="M25" s="778" t="s">
        <v>60</v>
      </c>
    </row>
    <row r="26" spans="1:13" s="51" customFormat="1">
      <c r="A26" s="72" t="s">
        <v>61</v>
      </c>
      <c r="B26" s="73" t="s">
        <v>62</v>
      </c>
      <c r="C26" s="786"/>
      <c r="D26" s="74" t="s">
        <v>62</v>
      </c>
      <c r="E26" s="789">
        <v>2.6800000000000001E-2</v>
      </c>
      <c r="F26" s="71"/>
      <c r="G26" s="733" t="s">
        <v>62</v>
      </c>
      <c r="H26" s="780">
        <f>L26</f>
        <v>3.4500000000000003E-2</v>
      </c>
      <c r="I26" s="71"/>
      <c r="J26" s="781" t="s">
        <v>63</v>
      </c>
      <c r="K26" s="782">
        <v>1.4999999999999999E-2</v>
      </c>
      <c r="L26" s="782">
        <v>3.4500000000000003E-2</v>
      </c>
      <c r="M26" s="782">
        <v>4.4900000000000002E-2</v>
      </c>
    </row>
    <row r="27" spans="1:13" s="51" customFormat="1">
      <c r="A27" s="55" t="s">
        <v>64</v>
      </c>
      <c r="B27" s="56" t="s">
        <v>65</v>
      </c>
      <c r="C27" s="786"/>
      <c r="D27" s="75" t="s">
        <v>65</v>
      </c>
      <c r="E27" s="76">
        <v>3.5000000000000001E-3</v>
      </c>
      <c r="F27" s="71"/>
      <c r="G27" s="733" t="s">
        <v>65</v>
      </c>
      <c r="H27" s="734">
        <f>L27</f>
        <v>4.7999999999999996E-3</v>
      </c>
      <c r="I27" s="71"/>
      <c r="J27" s="783" t="s">
        <v>66</v>
      </c>
      <c r="K27" s="784">
        <v>3.0000000000000001E-3</v>
      </c>
      <c r="L27" s="784">
        <v>4.7999999999999996E-3</v>
      </c>
      <c r="M27" s="784">
        <v>8.2000000000000007E-3</v>
      </c>
    </row>
    <row r="28" spans="1:13" s="51" customFormat="1">
      <c r="A28" s="72" t="s">
        <v>67</v>
      </c>
      <c r="B28" s="73" t="s">
        <v>68</v>
      </c>
      <c r="C28" s="71"/>
      <c r="D28" s="74" t="s">
        <v>68</v>
      </c>
      <c r="E28" s="77">
        <v>6.0000000000000001E-3</v>
      </c>
      <c r="F28" s="71"/>
      <c r="G28" s="733" t="s">
        <v>68</v>
      </c>
      <c r="H28" s="734">
        <f>L28</f>
        <v>8.5000000000000006E-3</v>
      </c>
      <c r="I28" s="71"/>
      <c r="J28" s="785" t="s">
        <v>69</v>
      </c>
      <c r="K28" s="782">
        <v>5.5999999999999999E-3</v>
      </c>
      <c r="L28" s="782">
        <v>8.5000000000000006E-3</v>
      </c>
      <c r="M28" s="782">
        <v>8.8999999999999999E-3</v>
      </c>
    </row>
    <row r="29" spans="1:13" s="51" customFormat="1">
      <c r="A29" s="55" t="s">
        <v>70</v>
      </c>
      <c r="B29" s="56" t="s">
        <v>71</v>
      </c>
      <c r="C29" s="71"/>
      <c r="D29" s="78" t="s">
        <v>71</v>
      </c>
      <c r="E29" s="79">
        <v>8.5000000000000006E-3</v>
      </c>
      <c r="F29" s="71"/>
      <c r="G29" s="735" t="s">
        <v>71</v>
      </c>
      <c r="H29" s="736">
        <f>L29</f>
        <v>8.5000000000000006E-3</v>
      </c>
      <c r="I29" s="71"/>
      <c r="J29" s="783" t="s">
        <v>72</v>
      </c>
      <c r="K29" s="784">
        <v>8.5000000000000006E-3</v>
      </c>
      <c r="L29" s="784">
        <v>8.5000000000000006E-3</v>
      </c>
      <c r="M29" s="784">
        <v>1.11E-2</v>
      </c>
    </row>
    <row r="30" spans="1:13" s="51" customFormat="1">
      <c r="A30" s="52" t="s">
        <v>73</v>
      </c>
      <c r="B30" s="53" t="s">
        <v>74</v>
      </c>
      <c r="C30" s="71"/>
      <c r="D30" s="80" t="s">
        <v>74</v>
      </c>
      <c r="E30" s="81">
        <v>5.11E-2</v>
      </c>
      <c r="F30" s="71"/>
      <c r="G30" s="733" t="s">
        <v>74</v>
      </c>
      <c r="H30" s="734">
        <f>L30</f>
        <v>5.11E-2</v>
      </c>
      <c r="I30" s="71"/>
      <c r="J30" s="785" t="s">
        <v>75</v>
      </c>
      <c r="K30" s="782">
        <v>3.5000000000000003E-2</v>
      </c>
      <c r="L30" s="782">
        <v>5.11E-2</v>
      </c>
      <c r="M30" s="782">
        <v>6.2199999999999998E-2</v>
      </c>
    </row>
    <row r="31" spans="1:13" s="51" customFormat="1">
      <c r="A31" s="65" t="s">
        <v>76</v>
      </c>
      <c r="B31" s="66"/>
      <c r="C31" s="71"/>
      <c r="D31" s="78" t="s">
        <v>77</v>
      </c>
      <c r="E31" s="79">
        <v>3.6499999999999998E-2</v>
      </c>
      <c r="F31" s="71"/>
      <c r="G31" s="735" t="s">
        <v>77</v>
      </c>
      <c r="H31" s="736">
        <v>3.6499999999999998E-2</v>
      </c>
      <c r="I31" s="71"/>
      <c r="J31" s="71"/>
      <c r="K31" s="71"/>
      <c r="L31" s="71"/>
      <c r="M31" s="71"/>
    </row>
    <row r="32" spans="1:13" s="51" customFormat="1">
      <c r="A32" s="52" t="s">
        <v>78</v>
      </c>
      <c r="B32" s="53" t="s">
        <v>77</v>
      </c>
      <c r="C32" s="71"/>
      <c r="D32" s="80" t="s">
        <v>80</v>
      </c>
      <c r="E32" s="81">
        <v>0</v>
      </c>
      <c r="F32" s="71"/>
      <c r="G32" s="733" t="s">
        <v>80</v>
      </c>
      <c r="H32" s="734">
        <v>0.02</v>
      </c>
      <c r="I32" s="71"/>
      <c r="J32" s="71"/>
      <c r="K32" s="71"/>
      <c r="L32" s="71"/>
      <c r="M32" s="71"/>
    </row>
    <row r="33" spans="1:1025">
      <c r="A33" s="67" t="s">
        <v>82</v>
      </c>
      <c r="B33" s="66" t="s">
        <v>80</v>
      </c>
      <c r="C33" s="71"/>
      <c r="D33" s="74" t="s">
        <v>83</v>
      </c>
      <c r="E33" s="77">
        <f>E32+E31</f>
        <v>3.6499999999999998E-2</v>
      </c>
      <c r="F33" s="71"/>
      <c r="G33" s="733" t="s">
        <v>91</v>
      </c>
      <c r="H33" s="734">
        <f>H32+H31</f>
        <v>5.6499999999999995E-2</v>
      </c>
      <c r="I33" s="71"/>
      <c r="J33" s="1241" t="s">
        <v>92</v>
      </c>
      <c r="K33" s="1241"/>
      <c r="L33" s="1241"/>
      <c r="M33" s="124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c r="GM33" s="51"/>
      <c r="GN33" s="51"/>
      <c r="GO33" s="51"/>
      <c r="GP33" s="51"/>
      <c r="GQ33" s="51"/>
      <c r="GR33" s="51"/>
      <c r="GS33" s="51"/>
      <c r="GT33" s="51"/>
      <c r="GU33" s="51"/>
      <c r="GV33" s="51"/>
      <c r="GW33" s="51"/>
      <c r="GX33" s="51"/>
      <c r="GY33" s="51"/>
      <c r="GZ33" s="51"/>
      <c r="HA33" s="51"/>
      <c r="HB33" s="51"/>
      <c r="HC33" s="51"/>
      <c r="HD33" s="51"/>
      <c r="HE33" s="51"/>
      <c r="HF33" s="51"/>
      <c r="HG33" s="51"/>
      <c r="HH33" s="51"/>
      <c r="HI33" s="51"/>
      <c r="HJ33" s="51"/>
      <c r="HK33" s="51"/>
      <c r="HL33" s="51"/>
      <c r="HM33" s="51"/>
      <c r="HN33" s="51"/>
      <c r="HO33" s="51"/>
      <c r="HP33" s="51"/>
      <c r="HQ33" s="51"/>
      <c r="HR33" s="51"/>
      <c r="HS33" s="51"/>
      <c r="HT33" s="51"/>
      <c r="HU33" s="51"/>
      <c r="HV33" s="51"/>
      <c r="HW33" s="51"/>
      <c r="HX33" s="51"/>
      <c r="HY33" s="51"/>
      <c r="HZ33" s="51"/>
      <c r="IA33" s="51"/>
      <c r="IB33" s="51"/>
      <c r="IC33" s="51"/>
      <c r="ID33" s="51"/>
      <c r="IE33" s="51"/>
      <c r="IF33" s="51"/>
      <c r="IG33" s="51"/>
      <c r="IH33" s="51"/>
      <c r="II33" s="51"/>
      <c r="IJ33" s="51"/>
      <c r="IK33" s="51"/>
      <c r="IL33" s="51"/>
      <c r="IM33" s="51"/>
      <c r="IN33" s="51"/>
      <c r="IO33" s="51"/>
      <c r="IP33" s="51"/>
      <c r="IQ33" s="51"/>
      <c r="IR33" s="51"/>
      <c r="IS33" s="51"/>
      <c r="IT33" s="51"/>
      <c r="IU33" s="51"/>
      <c r="IV33" s="51"/>
      <c r="IW33" s="51"/>
      <c r="IX33" s="51"/>
      <c r="IY33" s="51"/>
      <c r="IZ33" s="51"/>
      <c r="JA33" s="51"/>
      <c r="JB33" s="51"/>
      <c r="JC33" s="51"/>
      <c r="JD33" s="51"/>
      <c r="JE33" s="51"/>
      <c r="JF33" s="51"/>
      <c r="JG33" s="51"/>
      <c r="JH33" s="51"/>
      <c r="JI33" s="51"/>
      <c r="JJ33" s="51"/>
      <c r="JK33" s="51"/>
      <c r="JL33" s="51"/>
      <c r="JM33" s="51"/>
      <c r="JN33" s="51"/>
      <c r="JO33" s="51"/>
      <c r="JP33" s="51"/>
      <c r="JQ33" s="51"/>
      <c r="JR33" s="51"/>
      <c r="JS33" s="51"/>
      <c r="JT33" s="51"/>
      <c r="JU33" s="51"/>
      <c r="JV33" s="51"/>
      <c r="JW33" s="51"/>
      <c r="JX33" s="51"/>
      <c r="JY33" s="51"/>
      <c r="JZ33" s="51"/>
      <c r="KA33" s="51"/>
      <c r="KB33" s="51"/>
      <c r="KC33" s="51"/>
      <c r="KD33" s="51"/>
      <c r="KE33" s="51"/>
      <c r="KF33" s="51"/>
      <c r="KG33" s="51"/>
      <c r="KH33" s="51"/>
      <c r="KI33" s="51"/>
      <c r="KJ33" s="51"/>
      <c r="KK33" s="51"/>
      <c r="KL33" s="51"/>
      <c r="KM33" s="51"/>
      <c r="KN33" s="51"/>
      <c r="KO33" s="51"/>
      <c r="KP33" s="51"/>
      <c r="KQ33" s="51"/>
      <c r="KR33" s="51"/>
      <c r="KS33" s="51"/>
      <c r="KT33" s="51"/>
      <c r="KU33" s="51"/>
      <c r="KV33" s="51"/>
      <c r="KW33" s="51"/>
      <c r="KX33" s="51"/>
      <c r="KY33" s="51"/>
      <c r="KZ33" s="51"/>
      <c r="LA33" s="51"/>
      <c r="LB33" s="51"/>
      <c r="LC33" s="51"/>
      <c r="LD33" s="51"/>
      <c r="LE33" s="51"/>
      <c r="LF33" s="51"/>
      <c r="LG33" s="51"/>
      <c r="LH33" s="51"/>
      <c r="LI33" s="51"/>
      <c r="LJ33" s="51"/>
      <c r="LK33" s="51"/>
      <c r="LL33" s="51"/>
      <c r="LM33" s="51"/>
      <c r="LN33" s="51"/>
      <c r="LO33" s="51"/>
      <c r="LP33" s="51"/>
      <c r="LQ33" s="51"/>
      <c r="LR33" s="51"/>
      <c r="LS33" s="51"/>
      <c r="LT33" s="51"/>
      <c r="LU33" s="51"/>
      <c r="LV33" s="51"/>
      <c r="LW33" s="51"/>
      <c r="LX33" s="51"/>
      <c r="LY33" s="51"/>
      <c r="LZ33" s="51"/>
      <c r="MA33" s="51"/>
      <c r="MB33" s="51"/>
      <c r="MC33" s="51"/>
      <c r="MD33" s="51"/>
      <c r="ME33" s="51"/>
      <c r="MF33" s="51"/>
      <c r="MG33" s="51"/>
      <c r="MH33" s="51"/>
      <c r="MI33" s="51"/>
      <c r="MJ33" s="51"/>
      <c r="MK33" s="51"/>
      <c r="ML33" s="51"/>
      <c r="MM33" s="51"/>
      <c r="MN33" s="51"/>
      <c r="MO33" s="51"/>
      <c r="MP33" s="51"/>
      <c r="MQ33" s="51"/>
      <c r="MR33" s="51"/>
      <c r="MS33" s="51"/>
      <c r="MT33" s="51"/>
      <c r="MU33" s="51"/>
      <c r="MV33" s="51"/>
      <c r="MW33" s="51"/>
      <c r="MX33" s="51"/>
      <c r="MY33" s="51"/>
      <c r="MZ33" s="51"/>
      <c r="NA33" s="51"/>
      <c r="NB33" s="51"/>
      <c r="NC33" s="51"/>
      <c r="ND33" s="51"/>
      <c r="NE33" s="51"/>
      <c r="NF33" s="51"/>
      <c r="NG33" s="51"/>
      <c r="NH33" s="51"/>
      <c r="NI33" s="51"/>
      <c r="NJ33" s="51"/>
      <c r="NK33" s="51"/>
      <c r="NL33" s="51"/>
      <c r="NM33" s="51"/>
      <c r="NN33" s="51"/>
      <c r="NO33" s="51"/>
      <c r="NP33" s="51"/>
      <c r="NQ33" s="51"/>
      <c r="NR33" s="51"/>
      <c r="NS33" s="51"/>
      <c r="NT33" s="51"/>
      <c r="NU33" s="51"/>
      <c r="NV33" s="51"/>
      <c r="NW33" s="51"/>
      <c r="NX33" s="51"/>
      <c r="NY33" s="51"/>
      <c r="NZ33" s="51"/>
      <c r="OA33" s="51"/>
      <c r="OB33" s="51"/>
      <c r="OC33" s="51"/>
      <c r="OD33" s="51"/>
      <c r="OE33" s="51"/>
      <c r="OF33" s="51"/>
      <c r="OG33" s="51"/>
      <c r="OH33" s="51"/>
      <c r="OI33" s="51"/>
      <c r="OJ33" s="51"/>
      <c r="OK33" s="51"/>
      <c r="OL33" s="51"/>
      <c r="OM33" s="51"/>
      <c r="ON33" s="51"/>
      <c r="OO33" s="51"/>
      <c r="OP33" s="51"/>
      <c r="OQ33" s="51"/>
      <c r="OR33" s="51"/>
      <c r="OS33" s="51"/>
      <c r="OT33" s="51"/>
      <c r="OU33" s="51"/>
      <c r="OV33" s="51"/>
      <c r="OW33" s="51"/>
      <c r="OX33" s="51"/>
      <c r="OY33" s="51"/>
      <c r="OZ33" s="51"/>
      <c r="PA33" s="51"/>
      <c r="PB33" s="51"/>
      <c r="PC33" s="51"/>
      <c r="PD33" s="51"/>
      <c r="PE33" s="51"/>
      <c r="PF33" s="51"/>
      <c r="PG33" s="51"/>
      <c r="PH33" s="51"/>
      <c r="PI33" s="51"/>
      <c r="PJ33" s="51"/>
      <c r="PK33" s="51"/>
      <c r="PL33" s="51"/>
      <c r="PM33" s="51"/>
      <c r="PN33" s="51"/>
      <c r="PO33" s="51"/>
      <c r="PP33" s="51"/>
      <c r="PQ33" s="51"/>
      <c r="PR33" s="51"/>
      <c r="PS33" s="51"/>
      <c r="PT33" s="51"/>
      <c r="PU33" s="51"/>
      <c r="PV33" s="51"/>
      <c r="PW33" s="51"/>
      <c r="PX33" s="51"/>
      <c r="PY33" s="51"/>
      <c r="PZ33" s="51"/>
      <c r="QA33" s="51"/>
      <c r="QB33" s="51"/>
      <c r="QC33" s="51"/>
      <c r="QD33" s="51"/>
      <c r="QE33" s="51"/>
      <c r="QF33" s="51"/>
      <c r="QG33" s="51"/>
      <c r="QH33" s="51"/>
      <c r="QI33" s="51"/>
      <c r="QJ33" s="51"/>
      <c r="QK33" s="51"/>
      <c r="QL33" s="51"/>
      <c r="QM33" s="51"/>
      <c r="QN33" s="51"/>
      <c r="QO33" s="51"/>
      <c r="QP33" s="51"/>
      <c r="QQ33" s="51"/>
      <c r="QR33" s="51"/>
      <c r="QS33" s="51"/>
      <c r="QT33" s="51"/>
      <c r="QU33" s="51"/>
      <c r="QV33" s="51"/>
      <c r="QW33" s="51"/>
      <c r="QX33" s="51"/>
      <c r="QY33" s="51"/>
      <c r="QZ33" s="51"/>
      <c r="RA33" s="51"/>
      <c r="RB33" s="51"/>
      <c r="RC33" s="51"/>
      <c r="RD33" s="51"/>
      <c r="RE33" s="51"/>
      <c r="RF33" s="51"/>
      <c r="RG33" s="51"/>
      <c r="RH33" s="51"/>
      <c r="RI33" s="51"/>
      <c r="RJ33" s="51"/>
      <c r="RK33" s="51"/>
      <c r="RL33" s="51"/>
      <c r="RM33" s="51"/>
      <c r="RN33" s="51"/>
      <c r="RO33" s="51"/>
      <c r="RP33" s="51"/>
      <c r="RQ33" s="51"/>
      <c r="RR33" s="51"/>
      <c r="RS33" s="51"/>
      <c r="RT33" s="51"/>
      <c r="RU33" s="51"/>
      <c r="RV33" s="51"/>
      <c r="RW33" s="51"/>
      <c r="RX33" s="51"/>
      <c r="RY33" s="51"/>
      <c r="RZ33" s="51"/>
      <c r="SA33" s="51"/>
      <c r="SB33" s="51"/>
      <c r="SC33" s="51"/>
      <c r="SD33" s="51"/>
      <c r="SE33" s="51"/>
      <c r="SF33" s="51"/>
      <c r="SG33" s="51"/>
      <c r="SH33" s="51"/>
      <c r="SI33" s="51"/>
      <c r="SJ33" s="51"/>
      <c r="SK33" s="51"/>
      <c r="SL33" s="51"/>
      <c r="SM33" s="51"/>
      <c r="SN33" s="51"/>
      <c r="SO33" s="51"/>
      <c r="SP33" s="51"/>
      <c r="SQ33" s="51"/>
      <c r="SR33" s="51"/>
      <c r="SS33" s="51"/>
      <c r="ST33" s="51"/>
      <c r="SU33" s="51"/>
      <c r="SV33" s="51"/>
      <c r="SW33" s="51"/>
      <c r="SX33" s="51"/>
      <c r="SY33" s="51"/>
      <c r="SZ33" s="51"/>
      <c r="TA33" s="51"/>
      <c r="TB33" s="51"/>
      <c r="TC33" s="51"/>
      <c r="TD33" s="51"/>
      <c r="TE33" s="51"/>
      <c r="TF33" s="51"/>
      <c r="TG33" s="51"/>
      <c r="TH33" s="51"/>
      <c r="TI33" s="51"/>
      <c r="TJ33" s="51"/>
      <c r="TK33" s="51"/>
      <c r="TL33" s="51"/>
      <c r="TM33" s="51"/>
      <c r="TN33" s="51"/>
      <c r="TO33" s="51"/>
      <c r="TP33" s="51"/>
      <c r="TQ33" s="51"/>
      <c r="TR33" s="51"/>
      <c r="TS33" s="51"/>
      <c r="TT33" s="51"/>
      <c r="TU33" s="51"/>
      <c r="TV33" s="51"/>
      <c r="TW33" s="51"/>
      <c r="TX33" s="51"/>
      <c r="TY33" s="51"/>
      <c r="TZ33" s="51"/>
      <c r="UA33" s="51"/>
      <c r="UB33" s="51"/>
      <c r="UC33" s="51"/>
      <c r="UD33" s="51"/>
      <c r="UE33" s="51"/>
      <c r="UF33" s="51"/>
      <c r="UG33" s="51"/>
      <c r="UH33" s="51"/>
      <c r="UI33" s="51"/>
      <c r="UJ33" s="51"/>
      <c r="UK33" s="51"/>
      <c r="UL33" s="51"/>
      <c r="UM33" s="51"/>
      <c r="UN33" s="51"/>
      <c r="UO33" s="51"/>
      <c r="UP33" s="51"/>
      <c r="UQ33" s="51"/>
      <c r="UR33" s="51"/>
      <c r="US33" s="51"/>
      <c r="UT33" s="51"/>
      <c r="UU33" s="51"/>
      <c r="UV33" s="51"/>
      <c r="UW33" s="51"/>
      <c r="UX33" s="51"/>
      <c r="UY33" s="51"/>
      <c r="UZ33" s="51"/>
      <c r="VA33" s="51"/>
      <c r="VB33" s="51"/>
      <c r="VC33" s="51"/>
      <c r="VD33" s="51"/>
      <c r="VE33" s="51"/>
      <c r="VF33" s="51"/>
      <c r="VG33" s="51"/>
      <c r="VH33" s="51"/>
      <c r="VI33" s="51"/>
      <c r="VJ33" s="51"/>
      <c r="VK33" s="51"/>
      <c r="VL33" s="51"/>
      <c r="VM33" s="51"/>
      <c r="VN33" s="51"/>
      <c r="VO33" s="51"/>
      <c r="VP33" s="51"/>
      <c r="VQ33" s="51"/>
      <c r="VR33" s="51"/>
      <c r="VS33" s="51"/>
      <c r="VT33" s="51"/>
      <c r="VU33" s="51"/>
      <c r="VV33" s="51"/>
      <c r="VW33" s="51"/>
      <c r="VX33" s="51"/>
      <c r="VY33" s="51"/>
      <c r="VZ33" s="51"/>
      <c r="WA33" s="51"/>
      <c r="WB33" s="51"/>
      <c r="WC33" s="51"/>
      <c r="WD33" s="51"/>
      <c r="WE33" s="51"/>
      <c r="WF33" s="51"/>
      <c r="WG33" s="51"/>
      <c r="WH33" s="51"/>
      <c r="WI33" s="51"/>
      <c r="WJ33" s="51"/>
      <c r="WK33" s="51"/>
      <c r="WL33" s="51"/>
      <c r="WM33" s="51"/>
      <c r="WN33" s="51"/>
      <c r="WO33" s="51"/>
      <c r="WP33" s="51"/>
      <c r="WQ33" s="51"/>
      <c r="WR33" s="51"/>
      <c r="WS33" s="51"/>
      <c r="WT33" s="51"/>
      <c r="WU33" s="51"/>
      <c r="WV33" s="51"/>
      <c r="WW33" s="51"/>
      <c r="WX33" s="51"/>
      <c r="WY33" s="51"/>
      <c r="WZ33" s="51"/>
      <c r="XA33" s="51"/>
      <c r="XB33" s="51"/>
      <c r="XC33" s="51"/>
      <c r="XD33" s="51"/>
      <c r="XE33" s="51"/>
      <c r="XF33" s="51"/>
      <c r="XG33" s="51"/>
      <c r="XH33" s="51"/>
      <c r="XI33" s="51"/>
      <c r="XJ33" s="51"/>
      <c r="XK33" s="51"/>
      <c r="XL33" s="51"/>
      <c r="XM33" s="51"/>
      <c r="XN33" s="51"/>
      <c r="XO33" s="51"/>
      <c r="XP33" s="51"/>
      <c r="XQ33" s="51"/>
      <c r="XR33" s="51"/>
      <c r="XS33" s="51"/>
      <c r="XT33" s="51"/>
      <c r="XU33" s="51"/>
      <c r="XV33" s="51"/>
      <c r="XW33" s="51"/>
      <c r="XX33" s="51"/>
      <c r="XY33" s="51"/>
      <c r="XZ33" s="51"/>
      <c r="YA33" s="51"/>
      <c r="YB33" s="51"/>
      <c r="YC33" s="51"/>
      <c r="YD33" s="51"/>
      <c r="YE33" s="51"/>
      <c r="YF33" s="51"/>
      <c r="YG33" s="51"/>
      <c r="YH33" s="51"/>
      <c r="YI33" s="51"/>
      <c r="YJ33" s="51"/>
      <c r="YK33" s="51"/>
      <c r="YL33" s="51"/>
      <c r="YM33" s="51"/>
      <c r="YN33" s="51"/>
      <c r="YO33" s="51"/>
      <c r="YP33" s="51"/>
      <c r="YQ33" s="51"/>
      <c r="YR33" s="51"/>
      <c r="YS33" s="51"/>
      <c r="YT33" s="51"/>
      <c r="YU33" s="51"/>
      <c r="YV33" s="51"/>
      <c r="YW33" s="51"/>
      <c r="YX33" s="51"/>
      <c r="YY33" s="51"/>
      <c r="YZ33" s="51"/>
      <c r="ZA33" s="51"/>
      <c r="ZB33" s="51"/>
      <c r="ZC33" s="51"/>
      <c r="ZD33" s="51"/>
      <c r="ZE33" s="51"/>
      <c r="ZF33" s="51"/>
      <c r="ZG33" s="51"/>
      <c r="ZH33" s="51"/>
      <c r="ZI33" s="51"/>
      <c r="ZJ33" s="51"/>
      <c r="ZK33" s="51"/>
      <c r="ZL33" s="51"/>
      <c r="ZM33" s="51"/>
      <c r="ZN33" s="51"/>
      <c r="ZO33" s="51"/>
      <c r="ZP33" s="51"/>
      <c r="ZQ33" s="51"/>
      <c r="ZR33" s="51"/>
      <c r="ZS33" s="51"/>
      <c r="ZT33" s="51"/>
      <c r="ZU33" s="51"/>
      <c r="ZV33" s="51"/>
      <c r="ZW33" s="51"/>
      <c r="ZX33" s="51"/>
      <c r="ZY33" s="51"/>
      <c r="ZZ33" s="51"/>
      <c r="AAA33" s="51"/>
      <c r="AAB33" s="51"/>
      <c r="AAC33" s="51"/>
      <c r="AAD33" s="51"/>
      <c r="AAE33" s="51"/>
      <c r="AAF33" s="51"/>
      <c r="AAG33" s="51"/>
      <c r="AAH33" s="51"/>
      <c r="AAI33" s="51"/>
      <c r="AAJ33" s="51"/>
      <c r="AAK33" s="51"/>
      <c r="AAL33" s="51"/>
      <c r="AAM33" s="51"/>
      <c r="AAN33" s="51"/>
      <c r="AAO33" s="51"/>
      <c r="AAP33" s="51"/>
      <c r="AAQ33" s="51"/>
      <c r="AAR33" s="51"/>
      <c r="AAS33" s="51"/>
      <c r="AAT33" s="51"/>
      <c r="AAU33" s="51"/>
      <c r="AAV33" s="51"/>
      <c r="AAW33" s="51"/>
      <c r="AAX33" s="51"/>
      <c r="AAY33" s="51"/>
      <c r="AAZ33" s="51"/>
      <c r="ABA33" s="51"/>
      <c r="ABB33" s="51"/>
      <c r="ABC33" s="51"/>
      <c r="ABD33" s="51"/>
      <c r="ABE33" s="51"/>
      <c r="ABF33" s="51"/>
      <c r="ABG33" s="51"/>
      <c r="ABH33" s="51"/>
      <c r="ABI33" s="51"/>
      <c r="ABJ33" s="51"/>
      <c r="ABK33" s="51"/>
      <c r="ABL33" s="51"/>
      <c r="ABM33" s="51"/>
      <c r="ABN33" s="51"/>
      <c r="ABO33" s="51"/>
      <c r="ABP33" s="51"/>
      <c r="ABQ33" s="51"/>
      <c r="ABR33" s="51"/>
      <c r="ABS33" s="51"/>
      <c r="ABT33" s="51"/>
      <c r="ABU33" s="51"/>
      <c r="ABV33" s="51"/>
      <c r="ABW33" s="51"/>
      <c r="ABX33" s="51"/>
      <c r="ABY33" s="51"/>
      <c r="ABZ33" s="51"/>
      <c r="ACA33" s="51"/>
      <c r="ACB33" s="51"/>
      <c r="ACC33" s="51"/>
      <c r="ACD33" s="51"/>
      <c r="ACE33" s="51"/>
      <c r="ACF33" s="51"/>
      <c r="ACG33" s="51"/>
      <c r="ACH33" s="51"/>
      <c r="ACI33" s="51"/>
      <c r="ACJ33" s="51"/>
      <c r="ACK33" s="51"/>
      <c r="ACL33" s="51"/>
      <c r="ACM33" s="51"/>
      <c r="ACN33" s="51"/>
      <c r="ACO33" s="51"/>
      <c r="ACP33" s="51"/>
      <c r="ACQ33" s="51"/>
      <c r="ACR33" s="51"/>
      <c r="ACS33" s="51"/>
      <c r="ACT33" s="51"/>
      <c r="ACU33" s="51"/>
      <c r="ACV33" s="51"/>
      <c r="ACW33" s="51"/>
      <c r="ACX33" s="51"/>
      <c r="ACY33" s="51"/>
      <c r="ACZ33" s="51"/>
      <c r="ADA33" s="51"/>
      <c r="ADB33" s="51"/>
      <c r="ADC33" s="51"/>
      <c r="ADD33" s="51"/>
      <c r="ADE33" s="51"/>
      <c r="ADF33" s="51"/>
      <c r="ADG33" s="51"/>
      <c r="ADH33" s="51"/>
      <c r="ADI33" s="51"/>
      <c r="ADJ33" s="51"/>
      <c r="ADK33" s="51"/>
      <c r="ADL33" s="51"/>
      <c r="ADM33" s="51"/>
      <c r="ADN33" s="51"/>
      <c r="ADO33" s="51"/>
      <c r="ADP33" s="51"/>
      <c r="ADQ33" s="51"/>
      <c r="ADR33" s="51"/>
      <c r="ADS33" s="51"/>
      <c r="ADT33" s="51"/>
      <c r="ADU33" s="51"/>
      <c r="ADV33" s="51"/>
      <c r="ADW33" s="51"/>
      <c r="ADX33" s="51"/>
      <c r="ADY33" s="51"/>
      <c r="ADZ33" s="51"/>
      <c r="AEA33" s="51"/>
      <c r="AEB33" s="51"/>
      <c r="AEC33" s="51"/>
      <c r="AED33" s="51"/>
      <c r="AEE33" s="51"/>
      <c r="AEF33" s="51"/>
      <c r="AEG33" s="51"/>
      <c r="AEH33" s="51"/>
      <c r="AEI33" s="51"/>
      <c r="AEJ33" s="51"/>
      <c r="AEK33" s="51"/>
      <c r="AEL33" s="51"/>
      <c r="AEM33" s="51"/>
      <c r="AEN33" s="51"/>
      <c r="AEO33" s="51"/>
      <c r="AEP33" s="51"/>
      <c r="AEQ33" s="51"/>
      <c r="AER33" s="51"/>
      <c r="AES33" s="51"/>
      <c r="AET33" s="51"/>
      <c r="AEU33" s="51"/>
      <c r="AEV33" s="51"/>
      <c r="AEW33" s="51"/>
      <c r="AEX33" s="51"/>
      <c r="AEY33" s="51"/>
      <c r="AEZ33" s="51"/>
      <c r="AFA33" s="51"/>
      <c r="AFB33" s="51"/>
      <c r="AFC33" s="51"/>
      <c r="AFD33" s="51"/>
      <c r="AFE33" s="51"/>
      <c r="AFF33" s="51"/>
      <c r="AFG33" s="51"/>
      <c r="AFH33" s="51"/>
      <c r="AFI33" s="51"/>
      <c r="AFJ33" s="51"/>
      <c r="AFK33" s="51"/>
      <c r="AFL33" s="51"/>
      <c r="AFM33" s="51"/>
      <c r="AFN33" s="51"/>
      <c r="AFO33" s="51"/>
      <c r="AFP33" s="51"/>
      <c r="AFQ33" s="51"/>
      <c r="AFR33" s="51"/>
      <c r="AFS33" s="51"/>
      <c r="AFT33" s="51"/>
      <c r="AFU33" s="51"/>
      <c r="AFV33" s="51"/>
      <c r="AFW33" s="51"/>
      <c r="AFX33" s="51"/>
      <c r="AFY33" s="51"/>
      <c r="AFZ33" s="51"/>
      <c r="AGA33" s="51"/>
      <c r="AGB33" s="51"/>
      <c r="AGC33" s="51"/>
      <c r="AGD33" s="51"/>
      <c r="AGE33" s="51"/>
      <c r="AGF33" s="51"/>
      <c r="AGG33" s="51"/>
      <c r="AGH33" s="51"/>
      <c r="AGI33" s="51"/>
      <c r="AGJ33" s="51"/>
      <c r="AGK33" s="51"/>
      <c r="AGL33" s="51"/>
      <c r="AGM33" s="51"/>
      <c r="AGN33" s="51"/>
      <c r="AGO33" s="51"/>
      <c r="AGP33" s="51"/>
      <c r="AGQ33" s="51"/>
      <c r="AGR33" s="51"/>
      <c r="AGS33" s="51"/>
      <c r="AGT33" s="51"/>
      <c r="AGU33" s="51"/>
      <c r="AGV33" s="51"/>
      <c r="AGW33" s="51"/>
      <c r="AGX33" s="51"/>
      <c r="AGY33" s="51"/>
      <c r="AGZ33" s="51"/>
      <c r="AHA33" s="51"/>
      <c r="AHB33" s="51"/>
      <c r="AHC33" s="51"/>
      <c r="AHD33" s="51"/>
      <c r="AHE33" s="51"/>
      <c r="AHF33" s="51"/>
      <c r="AHG33" s="51"/>
      <c r="AHH33" s="51"/>
      <c r="AHI33" s="51"/>
      <c r="AHJ33" s="51"/>
      <c r="AHK33" s="51"/>
      <c r="AHL33" s="51"/>
      <c r="AHM33" s="51"/>
      <c r="AHN33" s="51"/>
      <c r="AHO33" s="51"/>
      <c r="AHP33" s="51"/>
      <c r="AHQ33" s="51"/>
      <c r="AHR33" s="51"/>
      <c r="AHS33" s="51"/>
      <c r="AHT33" s="51"/>
      <c r="AHU33" s="51"/>
      <c r="AHV33" s="51"/>
      <c r="AHW33" s="51"/>
      <c r="AHX33" s="51"/>
      <c r="AHY33" s="51"/>
      <c r="AHZ33" s="51"/>
      <c r="AIA33" s="51"/>
      <c r="AIB33" s="51"/>
      <c r="AIC33" s="51"/>
      <c r="AID33" s="51"/>
      <c r="AIE33" s="51"/>
      <c r="AIF33" s="51"/>
      <c r="AIG33" s="51"/>
      <c r="AIH33" s="51"/>
      <c r="AII33" s="51"/>
      <c r="AIJ33" s="51"/>
      <c r="AIK33" s="51"/>
      <c r="AIL33" s="51"/>
      <c r="AIM33" s="51"/>
      <c r="AIN33" s="51"/>
      <c r="AIO33" s="51"/>
      <c r="AIP33" s="51"/>
      <c r="AIQ33" s="51"/>
      <c r="AIR33" s="51"/>
      <c r="AIS33" s="51"/>
      <c r="AIT33" s="51"/>
      <c r="AIU33" s="51"/>
      <c r="AIV33" s="51"/>
      <c r="AIW33" s="51"/>
      <c r="AIX33" s="51"/>
      <c r="AIY33" s="51"/>
      <c r="AIZ33" s="51"/>
      <c r="AJA33" s="51"/>
      <c r="AJB33" s="51"/>
      <c r="AJC33" s="51"/>
      <c r="AJD33" s="51"/>
      <c r="AJE33" s="51"/>
      <c r="AJF33" s="51"/>
      <c r="AJG33" s="51"/>
      <c r="AJH33" s="51"/>
      <c r="AJI33" s="51"/>
      <c r="AJJ33" s="51"/>
      <c r="AJK33" s="51"/>
      <c r="AJL33" s="51"/>
      <c r="AJM33" s="51"/>
      <c r="AJN33" s="51"/>
      <c r="AJO33" s="51"/>
      <c r="AJP33" s="51"/>
      <c r="AJQ33" s="51"/>
      <c r="AJR33" s="51"/>
      <c r="AJS33" s="51"/>
      <c r="AJT33" s="51"/>
      <c r="AJU33" s="51"/>
      <c r="AJV33" s="51"/>
      <c r="AJW33" s="51"/>
      <c r="AJX33" s="51"/>
      <c r="AJY33" s="51"/>
      <c r="AJZ33" s="51"/>
      <c r="AKA33" s="51"/>
      <c r="AKB33" s="51"/>
      <c r="AKC33" s="51"/>
      <c r="AKD33" s="51"/>
      <c r="AKE33" s="51"/>
      <c r="AKF33" s="51"/>
      <c r="AKG33" s="51"/>
      <c r="AKH33" s="51"/>
      <c r="AKI33" s="51"/>
      <c r="AKJ33" s="51"/>
      <c r="AKK33" s="51"/>
      <c r="AKL33" s="51"/>
      <c r="AKM33" s="51"/>
      <c r="AKN33" s="51"/>
      <c r="AKO33" s="51"/>
      <c r="AKP33" s="51"/>
      <c r="AKQ33" s="51"/>
      <c r="AKR33" s="51"/>
      <c r="AKS33" s="51"/>
      <c r="AKT33" s="51"/>
      <c r="AKU33" s="51"/>
      <c r="AKV33" s="51"/>
      <c r="AKW33" s="51"/>
      <c r="AKX33" s="51"/>
      <c r="AKY33" s="51"/>
      <c r="AKZ33" s="51"/>
      <c r="ALA33" s="51"/>
      <c r="ALB33" s="51"/>
      <c r="ALC33" s="51"/>
      <c r="ALD33" s="51"/>
      <c r="ALE33" s="51"/>
      <c r="ALF33" s="51"/>
      <c r="ALG33" s="51"/>
      <c r="ALH33" s="51"/>
      <c r="ALI33" s="51"/>
      <c r="ALJ33" s="51"/>
      <c r="ALK33" s="51"/>
      <c r="ALL33" s="51"/>
      <c r="ALM33" s="51"/>
      <c r="ALN33" s="51"/>
      <c r="ALO33" s="51"/>
      <c r="ALP33" s="51"/>
      <c r="ALQ33" s="51"/>
      <c r="ALR33" s="51"/>
      <c r="ALS33" s="51"/>
      <c r="ALT33" s="51"/>
      <c r="ALU33" s="51"/>
      <c r="ALV33" s="51"/>
      <c r="ALW33" s="51"/>
      <c r="ALX33" s="51"/>
      <c r="ALY33" s="51"/>
      <c r="ALZ33" s="51"/>
      <c r="AMA33" s="51"/>
      <c r="AMB33" s="51"/>
      <c r="AMC33" s="51"/>
      <c r="AMD33" s="51"/>
      <c r="AME33" s="51"/>
      <c r="AMF33" s="51"/>
      <c r="AMG33" s="51"/>
      <c r="AMH33" s="51"/>
      <c r="AMI33" s="51"/>
      <c r="AMJ33" s="51"/>
      <c r="AMK33" s="51"/>
    </row>
    <row r="34" spans="1:1025">
      <c r="A34" s="82" t="s">
        <v>84</v>
      </c>
      <c r="B34" s="53" t="s">
        <v>83</v>
      </c>
      <c r="C34" s="71"/>
      <c r="D34" s="1242" t="s">
        <v>85</v>
      </c>
      <c r="E34" s="790"/>
      <c r="F34" s="71"/>
      <c r="G34" s="1240" t="s">
        <v>85</v>
      </c>
      <c r="H34" s="788"/>
      <c r="I34" s="71"/>
      <c r="J34" s="71"/>
      <c r="K34" s="778" t="s">
        <v>58</v>
      </c>
      <c r="L34" s="778" t="s">
        <v>59</v>
      </c>
      <c r="M34" s="778" t="s">
        <v>60</v>
      </c>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c r="GM34" s="51"/>
      <c r="GN34" s="51"/>
      <c r="GO34" s="51"/>
      <c r="GP34" s="51"/>
      <c r="GQ34" s="51"/>
      <c r="GR34" s="51"/>
      <c r="GS34" s="51"/>
      <c r="GT34" s="51"/>
      <c r="GU34" s="51"/>
      <c r="GV34" s="51"/>
      <c r="GW34" s="51"/>
      <c r="GX34" s="51"/>
      <c r="GY34" s="51"/>
      <c r="GZ34" s="51"/>
      <c r="HA34" s="51"/>
      <c r="HB34" s="51"/>
      <c r="HC34" s="51"/>
      <c r="HD34" s="51"/>
      <c r="HE34" s="51"/>
      <c r="HF34" s="51"/>
      <c r="HG34" s="51"/>
      <c r="HH34" s="51"/>
      <c r="HI34" s="51"/>
      <c r="HJ34" s="51"/>
      <c r="HK34" s="51"/>
      <c r="HL34" s="51"/>
      <c r="HM34" s="51"/>
      <c r="HN34" s="51"/>
      <c r="HO34" s="51"/>
      <c r="HP34" s="51"/>
      <c r="HQ34" s="51"/>
      <c r="HR34" s="51"/>
      <c r="HS34" s="51"/>
      <c r="HT34" s="51"/>
      <c r="HU34" s="51"/>
      <c r="HV34" s="51"/>
      <c r="HW34" s="51"/>
      <c r="HX34" s="51"/>
      <c r="HY34" s="51"/>
      <c r="HZ34" s="51"/>
      <c r="IA34" s="51"/>
      <c r="IB34" s="51"/>
      <c r="IC34" s="51"/>
      <c r="ID34" s="51"/>
      <c r="IE34" s="51"/>
      <c r="IF34" s="51"/>
      <c r="IG34" s="51"/>
      <c r="IH34" s="51"/>
      <c r="II34" s="51"/>
      <c r="IJ34" s="51"/>
      <c r="IK34" s="51"/>
      <c r="IL34" s="51"/>
      <c r="IM34" s="51"/>
      <c r="IN34" s="51"/>
      <c r="IO34" s="51"/>
      <c r="IP34" s="51"/>
      <c r="IQ34" s="51"/>
      <c r="IR34" s="51"/>
      <c r="IS34" s="51"/>
      <c r="IT34" s="51"/>
      <c r="IU34" s="51"/>
      <c r="IV34" s="51"/>
      <c r="IW34" s="51"/>
      <c r="IX34" s="51"/>
      <c r="IY34" s="51"/>
      <c r="IZ34" s="51"/>
      <c r="JA34" s="51"/>
      <c r="JB34" s="51"/>
      <c r="JC34" s="51"/>
      <c r="JD34" s="51"/>
      <c r="JE34" s="51"/>
      <c r="JF34" s="51"/>
      <c r="JG34" s="51"/>
      <c r="JH34" s="51"/>
      <c r="JI34" s="51"/>
      <c r="JJ34" s="51"/>
      <c r="JK34" s="51"/>
      <c r="JL34" s="51"/>
      <c r="JM34" s="51"/>
      <c r="JN34" s="51"/>
      <c r="JO34" s="51"/>
      <c r="JP34" s="51"/>
      <c r="JQ34" s="51"/>
      <c r="JR34" s="51"/>
      <c r="JS34" s="51"/>
      <c r="JT34" s="51"/>
      <c r="JU34" s="51"/>
      <c r="JV34" s="51"/>
      <c r="JW34" s="51"/>
      <c r="JX34" s="51"/>
      <c r="JY34" s="51"/>
      <c r="JZ34" s="51"/>
      <c r="KA34" s="51"/>
      <c r="KB34" s="51"/>
      <c r="KC34" s="51"/>
      <c r="KD34" s="51"/>
      <c r="KE34" s="51"/>
      <c r="KF34" s="51"/>
      <c r="KG34" s="51"/>
      <c r="KH34" s="51"/>
      <c r="KI34" s="51"/>
      <c r="KJ34" s="51"/>
      <c r="KK34" s="51"/>
      <c r="KL34" s="51"/>
      <c r="KM34" s="51"/>
      <c r="KN34" s="51"/>
      <c r="KO34" s="51"/>
      <c r="KP34" s="51"/>
      <c r="KQ34" s="51"/>
      <c r="KR34" s="51"/>
      <c r="KS34" s="51"/>
      <c r="KT34" s="51"/>
      <c r="KU34" s="51"/>
      <c r="KV34" s="51"/>
      <c r="KW34" s="51"/>
      <c r="KX34" s="51"/>
      <c r="KY34" s="51"/>
      <c r="KZ34" s="51"/>
      <c r="LA34" s="51"/>
      <c r="LB34" s="51"/>
      <c r="LC34" s="51"/>
      <c r="LD34" s="51"/>
      <c r="LE34" s="51"/>
      <c r="LF34" s="51"/>
      <c r="LG34" s="51"/>
      <c r="LH34" s="51"/>
      <c r="LI34" s="51"/>
      <c r="LJ34" s="51"/>
      <c r="LK34" s="51"/>
      <c r="LL34" s="51"/>
      <c r="LM34" s="51"/>
      <c r="LN34" s="51"/>
      <c r="LO34" s="51"/>
      <c r="LP34" s="51"/>
      <c r="LQ34" s="51"/>
      <c r="LR34" s="51"/>
      <c r="LS34" s="51"/>
      <c r="LT34" s="51"/>
      <c r="LU34" s="51"/>
      <c r="LV34" s="51"/>
      <c r="LW34" s="51"/>
      <c r="LX34" s="51"/>
      <c r="LY34" s="51"/>
      <c r="LZ34" s="51"/>
      <c r="MA34" s="51"/>
      <c r="MB34" s="51"/>
      <c r="MC34" s="51"/>
      <c r="MD34" s="51"/>
      <c r="ME34" s="51"/>
      <c r="MF34" s="51"/>
      <c r="MG34" s="51"/>
      <c r="MH34" s="51"/>
      <c r="MI34" s="51"/>
      <c r="MJ34" s="51"/>
      <c r="MK34" s="51"/>
      <c r="ML34" s="51"/>
      <c r="MM34" s="51"/>
      <c r="MN34" s="51"/>
      <c r="MO34" s="51"/>
      <c r="MP34" s="51"/>
      <c r="MQ34" s="51"/>
      <c r="MR34" s="51"/>
      <c r="MS34" s="51"/>
      <c r="MT34" s="51"/>
      <c r="MU34" s="51"/>
      <c r="MV34" s="51"/>
      <c r="MW34" s="51"/>
      <c r="MX34" s="51"/>
      <c r="MY34" s="51"/>
      <c r="MZ34" s="51"/>
      <c r="NA34" s="51"/>
      <c r="NB34" s="51"/>
      <c r="NC34" s="51"/>
      <c r="ND34" s="51"/>
      <c r="NE34" s="51"/>
      <c r="NF34" s="51"/>
      <c r="NG34" s="51"/>
      <c r="NH34" s="51"/>
      <c r="NI34" s="51"/>
      <c r="NJ34" s="51"/>
      <c r="NK34" s="51"/>
      <c r="NL34" s="51"/>
      <c r="NM34" s="51"/>
      <c r="NN34" s="51"/>
      <c r="NO34" s="51"/>
      <c r="NP34" s="51"/>
      <c r="NQ34" s="51"/>
      <c r="NR34" s="51"/>
      <c r="NS34" s="51"/>
      <c r="NT34" s="51"/>
      <c r="NU34" s="51"/>
      <c r="NV34" s="51"/>
      <c r="NW34" s="51"/>
      <c r="NX34" s="51"/>
      <c r="NY34" s="51"/>
      <c r="NZ34" s="51"/>
      <c r="OA34" s="51"/>
      <c r="OB34" s="51"/>
      <c r="OC34" s="51"/>
      <c r="OD34" s="51"/>
      <c r="OE34" s="51"/>
      <c r="OF34" s="51"/>
      <c r="OG34" s="51"/>
      <c r="OH34" s="51"/>
      <c r="OI34" s="51"/>
      <c r="OJ34" s="51"/>
      <c r="OK34" s="51"/>
      <c r="OL34" s="51"/>
      <c r="OM34" s="51"/>
      <c r="ON34" s="51"/>
      <c r="OO34" s="51"/>
      <c r="OP34" s="51"/>
      <c r="OQ34" s="51"/>
      <c r="OR34" s="51"/>
      <c r="OS34" s="51"/>
      <c r="OT34" s="51"/>
      <c r="OU34" s="51"/>
      <c r="OV34" s="51"/>
      <c r="OW34" s="51"/>
      <c r="OX34" s="51"/>
      <c r="OY34" s="51"/>
      <c r="OZ34" s="51"/>
      <c r="PA34" s="51"/>
      <c r="PB34" s="51"/>
      <c r="PC34" s="51"/>
      <c r="PD34" s="51"/>
      <c r="PE34" s="51"/>
      <c r="PF34" s="51"/>
      <c r="PG34" s="51"/>
      <c r="PH34" s="51"/>
      <c r="PI34" s="51"/>
      <c r="PJ34" s="51"/>
      <c r="PK34" s="51"/>
      <c r="PL34" s="51"/>
      <c r="PM34" s="51"/>
      <c r="PN34" s="51"/>
      <c r="PO34" s="51"/>
      <c r="PP34" s="51"/>
      <c r="PQ34" s="51"/>
      <c r="PR34" s="51"/>
      <c r="PS34" s="51"/>
      <c r="PT34" s="51"/>
      <c r="PU34" s="51"/>
      <c r="PV34" s="51"/>
      <c r="PW34" s="51"/>
      <c r="PX34" s="51"/>
      <c r="PY34" s="51"/>
      <c r="PZ34" s="51"/>
      <c r="QA34" s="51"/>
      <c r="QB34" s="51"/>
      <c r="QC34" s="51"/>
      <c r="QD34" s="51"/>
      <c r="QE34" s="51"/>
      <c r="QF34" s="51"/>
      <c r="QG34" s="51"/>
      <c r="QH34" s="51"/>
      <c r="QI34" s="51"/>
      <c r="QJ34" s="51"/>
      <c r="QK34" s="51"/>
      <c r="QL34" s="51"/>
      <c r="QM34" s="51"/>
      <c r="QN34" s="51"/>
      <c r="QO34" s="51"/>
      <c r="QP34" s="51"/>
      <c r="QQ34" s="51"/>
      <c r="QR34" s="51"/>
      <c r="QS34" s="51"/>
      <c r="QT34" s="51"/>
      <c r="QU34" s="51"/>
      <c r="QV34" s="51"/>
      <c r="QW34" s="51"/>
      <c r="QX34" s="51"/>
      <c r="QY34" s="51"/>
      <c r="QZ34" s="51"/>
      <c r="RA34" s="51"/>
      <c r="RB34" s="51"/>
      <c r="RC34" s="51"/>
      <c r="RD34" s="51"/>
      <c r="RE34" s="51"/>
      <c r="RF34" s="51"/>
      <c r="RG34" s="51"/>
      <c r="RH34" s="51"/>
      <c r="RI34" s="51"/>
      <c r="RJ34" s="51"/>
      <c r="RK34" s="51"/>
      <c r="RL34" s="51"/>
      <c r="RM34" s="51"/>
      <c r="RN34" s="51"/>
      <c r="RO34" s="51"/>
      <c r="RP34" s="51"/>
      <c r="RQ34" s="51"/>
      <c r="RR34" s="51"/>
      <c r="RS34" s="51"/>
      <c r="RT34" s="51"/>
      <c r="RU34" s="51"/>
      <c r="RV34" s="51"/>
      <c r="RW34" s="51"/>
      <c r="RX34" s="51"/>
      <c r="RY34" s="51"/>
      <c r="RZ34" s="51"/>
      <c r="SA34" s="51"/>
      <c r="SB34" s="51"/>
      <c r="SC34" s="51"/>
      <c r="SD34" s="51"/>
      <c r="SE34" s="51"/>
      <c r="SF34" s="51"/>
      <c r="SG34" s="51"/>
      <c r="SH34" s="51"/>
      <c r="SI34" s="51"/>
      <c r="SJ34" s="51"/>
      <c r="SK34" s="51"/>
      <c r="SL34" s="51"/>
      <c r="SM34" s="51"/>
      <c r="SN34" s="51"/>
      <c r="SO34" s="51"/>
      <c r="SP34" s="51"/>
      <c r="SQ34" s="51"/>
      <c r="SR34" s="51"/>
      <c r="SS34" s="51"/>
      <c r="ST34" s="51"/>
      <c r="SU34" s="51"/>
      <c r="SV34" s="51"/>
      <c r="SW34" s="51"/>
      <c r="SX34" s="51"/>
      <c r="SY34" s="51"/>
      <c r="SZ34" s="51"/>
      <c r="TA34" s="51"/>
      <c r="TB34" s="51"/>
      <c r="TC34" s="51"/>
      <c r="TD34" s="51"/>
      <c r="TE34" s="51"/>
      <c r="TF34" s="51"/>
      <c r="TG34" s="51"/>
      <c r="TH34" s="51"/>
      <c r="TI34" s="51"/>
      <c r="TJ34" s="51"/>
      <c r="TK34" s="51"/>
      <c r="TL34" s="51"/>
      <c r="TM34" s="51"/>
      <c r="TN34" s="51"/>
      <c r="TO34" s="51"/>
      <c r="TP34" s="51"/>
      <c r="TQ34" s="51"/>
      <c r="TR34" s="51"/>
      <c r="TS34" s="51"/>
      <c r="TT34" s="51"/>
      <c r="TU34" s="51"/>
      <c r="TV34" s="51"/>
      <c r="TW34" s="51"/>
      <c r="TX34" s="51"/>
      <c r="TY34" s="51"/>
      <c r="TZ34" s="51"/>
      <c r="UA34" s="51"/>
      <c r="UB34" s="51"/>
      <c r="UC34" s="51"/>
      <c r="UD34" s="51"/>
      <c r="UE34" s="51"/>
      <c r="UF34" s="51"/>
      <c r="UG34" s="51"/>
      <c r="UH34" s="51"/>
      <c r="UI34" s="51"/>
      <c r="UJ34" s="51"/>
      <c r="UK34" s="51"/>
      <c r="UL34" s="51"/>
      <c r="UM34" s="51"/>
      <c r="UN34" s="51"/>
      <c r="UO34" s="51"/>
      <c r="UP34" s="51"/>
      <c r="UQ34" s="51"/>
      <c r="UR34" s="51"/>
      <c r="US34" s="51"/>
      <c r="UT34" s="51"/>
      <c r="UU34" s="51"/>
      <c r="UV34" s="51"/>
      <c r="UW34" s="51"/>
      <c r="UX34" s="51"/>
      <c r="UY34" s="51"/>
      <c r="UZ34" s="51"/>
      <c r="VA34" s="51"/>
      <c r="VB34" s="51"/>
      <c r="VC34" s="51"/>
      <c r="VD34" s="51"/>
      <c r="VE34" s="51"/>
      <c r="VF34" s="51"/>
      <c r="VG34" s="51"/>
      <c r="VH34" s="51"/>
      <c r="VI34" s="51"/>
      <c r="VJ34" s="51"/>
      <c r="VK34" s="51"/>
      <c r="VL34" s="51"/>
      <c r="VM34" s="51"/>
      <c r="VN34" s="51"/>
      <c r="VO34" s="51"/>
      <c r="VP34" s="51"/>
      <c r="VQ34" s="51"/>
      <c r="VR34" s="51"/>
      <c r="VS34" s="51"/>
      <c r="VT34" s="51"/>
      <c r="VU34" s="51"/>
      <c r="VV34" s="51"/>
      <c r="VW34" s="51"/>
      <c r="VX34" s="51"/>
      <c r="VY34" s="51"/>
      <c r="VZ34" s="51"/>
      <c r="WA34" s="51"/>
      <c r="WB34" s="51"/>
      <c r="WC34" s="51"/>
      <c r="WD34" s="51"/>
      <c r="WE34" s="51"/>
      <c r="WF34" s="51"/>
      <c r="WG34" s="51"/>
      <c r="WH34" s="51"/>
      <c r="WI34" s="51"/>
      <c r="WJ34" s="51"/>
      <c r="WK34" s="51"/>
      <c r="WL34" s="51"/>
      <c r="WM34" s="51"/>
      <c r="WN34" s="51"/>
      <c r="WO34" s="51"/>
      <c r="WP34" s="51"/>
      <c r="WQ34" s="51"/>
      <c r="WR34" s="51"/>
      <c r="WS34" s="51"/>
      <c r="WT34" s="51"/>
      <c r="WU34" s="51"/>
      <c r="WV34" s="51"/>
      <c r="WW34" s="51"/>
      <c r="WX34" s="51"/>
      <c r="WY34" s="51"/>
      <c r="WZ34" s="51"/>
      <c r="XA34" s="51"/>
      <c r="XB34" s="51"/>
      <c r="XC34" s="51"/>
      <c r="XD34" s="51"/>
      <c r="XE34" s="51"/>
      <c r="XF34" s="51"/>
      <c r="XG34" s="51"/>
      <c r="XH34" s="51"/>
      <c r="XI34" s="51"/>
      <c r="XJ34" s="51"/>
      <c r="XK34" s="51"/>
      <c r="XL34" s="51"/>
      <c r="XM34" s="51"/>
      <c r="XN34" s="51"/>
      <c r="XO34" s="51"/>
      <c r="XP34" s="51"/>
      <c r="XQ34" s="51"/>
      <c r="XR34" s="51"/>
      <c r="XS34" s="51"/>
      <c r="XT34" s="51"/>
      <c r="XU34" s="51"/>
      <c r="XV34" s="51"/>
      <c r="XW34" s="51"/>
      <c r="XX34" s="51"/>
      <c r="XY34" s="51"/>
      <c r="XZ34" s="51"/>
      <c r="YA34" s="51"/>
      <c r="YB34" s="51"/>
      <c r="YC34" s="51"/>
      <c r="YD34" s="51"/>
      <c r="YE34" s="51"/>
      <c r="YF34" s="51"/>
      <c r="YG34" s="51"/>
      <c r="YH34" s="51"/>
      <c r="YI34" s="51"/>
      <c r="YJ34" s="51"/>
      <c r="YK34" s="51"/>
      <c r="YL34" s="51"/>
      <c r="YM34" s="51"/>
      <c r="YN34" s="51"/>
      <c r="YO34" s="51"/>
      <c r="YP34" s="51"/>
      <c r="YQ34" s="51"/>
      <c r="YR34" s="51"/>
      <c r="YS34" s="51"/>
      <c r="YT34" s="51"/>
      <c r="YU34" s="51"/>
      <c r="YV34" s="51"/>
      <c r="YW34" s="51"/>
      <c r="YX34" s="51"/>
      <c r="YY34" s="51"/>
      <c r="YZ34" s="51"/>
      <c r="ZA34" s="51"/>
      <c r="ZB34" s="51"/>
      <c r="ZC34" s="51"/>
      <c r="ZD34" s="51"/>
      <c r="ZE34" s="51"/>
      <c r="ZF34" s="51"/>
      <c r="ZG34" s="51"/>
      <c r="ZH34" s="51"/>
      <c r="ZI34" s="51"/>
      <c r="ZJ34" s="51"/>
      <c r="ZK34" s="51"/>
      <c r="ZL34" s="51"/>
      <c r="ZM34" s="51"/>
      <c r="ZN34" s="51"/>
      <c r="ZO34" s="51"/>
      <c r="ZP34" s="51"/>
      <c r="ZQ34" s="51"/>
      <c r="ZR34" s="51"/>
      <c r="ZS34" s="51"/>
      <c r="ZT34" s="51"/>
      <c r="ZU34" s="51"/>
      <c r="ZV34" s="51"/>
      <c r="ZW34" s="51"/>
      <c r="ZX34" s="51"/>
      <c r="ZY34" s="51"/>
      <c r="ZZ34" s="51"/>
      <c r="AAA34" s="51"/>
      <c r="AAB34" s="51"/>
      <c r="AAC34" s="51"/>
      <c r="AAD34" s="51"/>
      <c r="AAE34" s="51"/>
      <c r="AAF34" s="51"/>
      <c r="AAG34" s="51"/>
      <c r="AAH34" s="51"/>
      <c r="AAI34" s="51"/>
      <c r="AAJ34" s="51"/>
      <c r="AAK34" s="51"/>
      <c r="AAL34" s="51"/>
      <c r="AAM34" s="51"/>
      <c r="AAN34" s="51"/>
      <c r="AAO34" s="51"/>
      <c r="AAP34" s="51"/>
      <c r="AAQ34" s="51"/>
      <c r="AAR34" s="51"/>
      <c r="AAS34" s="51"/>
      <c r="AAT34" s="51"/>
      <c r="AAU34" s="51"/>
      <c r="AAV34" s="51"/>
      <c r="AAW34" s="51"/>
      <c r="AAX34" s="51"/>
      <c r="AAY34" s="51"/>
      <c r="AAZ34" s="51"/>
      <c r="ABA34" s="51"/>
      <c r="ABB34" s="51"/>
      <c r="ABC34" s="51"/>
      <c r="ABD34" s="51"/>
      <c r="ABE34" s="51"/>
      <c r="ABF34" s="51"/>
      <c r="ABG34" s="51"/>
      <c r="ABH34" s="51"/>
      <c r="ABI34" s="51"/>
      <c r="ABJ34" s="51"/>
      <c r="ABK34" s="51"/>
      <c r="ABL34" s="51"/>
      <c r="ABM34" s="51"/>
      <c r="ABN34" s="51"/>
      <c r="ABO34" s="51"/>
      <c r="ABP34" s="51"/>
      <c r="ABQ34" s="51"/>
      <c r="ABR34" s="51"/>
      <c r="ABS34" s="51"/>
      <c r="ABT34" s="51"/>
      <c r="ABU34" s="51"/>
      <c r="ABV34" s="51"/>
      <c r="ABW34" s="51"/>
      <c r="ABX34" s="51"/>
      <c r="ABY34" s="51"/>
      <c r="ABZ34" s="51"/>
      <c r="ACA34" s="51"/>
      <c r="ACB34" s="51"/>
      <c r="ACC34" s="51"/>
      <c r="ACD34" s="51"/>
      <c r="ACE34" s="51"/>
      <c r="ACF34" s="51"/>
      <c r="ACG34" s="51"/>
      <c r="ACH34" s="51"/>
      <c r="ACI34" s="51"/>
      <c r="ACJ34" s="51"/>
      <c r="ACK34" s="51"/>
      <c r="ACL34" s="51"/>
      <c r="ACM34" s="51"/>
      <c r="ACN34" s="51"/>
      <c r="ACO34" s="51"/>
      <c r="ACP34" s="51"/>
      <c r="ACQ34" s="51"/>
      <c r="ACR34" s="51"/>
      <c r="ACS34" s="51"/>
      <c r="ACT34" s="51"/>
      <c r="ACU34" s="51"/>
      <c r="ACV34" s="51"/>
      <c r="ACW34" s="51"/>
      <c r="ACX34" s="51"/>
      <c r="ACY34" s="51"/>
      <c r="ACZ34" s="51"/>
      <c r="ADA34" s="51"/>
      <c r="ADB34" s="51"/>
      <c r="ADC34" s="51"/>
      <c r="ADD34" s="51"/>
      <c r="ADE34" s="51"/>
      <c r="ADF34" s="51"/>
      <c r="ADG34" s="51"/>
      <c r="ADH34" s="51"/>
      <c r="ADI34" s="51"/>
      <c r="ADJ34" s="51"/>
      <c r="ADK34" s="51"/>
      <c r="ADL34" s="51"/>
      <c r="ADM34" s="51"/>
      <c r="ADN34" s="51"/>
      <c r="ADO34" s="51"/>
      <c r="ADP34" s="51"/>
      <c r="ADQ34" s="51"/>
      <c r="ADR34" s="51"/>
      <c r="ADS34" s="51"/>
      <c r="ADT34" s="51"/>
      <c r="ADU34" s="51"/>
      <c r="ADV34" s="51"/>
      <c r="ADW34" s="51"/>
      <c r="ADX34" s="51"/>
      <c r="ADY34" s="51"/>
      <c r="ADZ34" s="51"/>
      <c r="AEA34" s="51"/>
      <c r="AEB34" s="51"/>
      <c r="AEC34" s="51"/>
      <c r="AED34" s="51"/>
      <c r="AEE34" s="51"/>
      <c r="AEF34" s="51"/>
      <c r="AEG34" s="51"/>
      <c r="AEH34" s="51"/>
      <c r="AEI34" s="51"/>
      <c r="AEJ34" s="51"/>
      <c r="AEK34" s="51"/>
      <c r="AEL34" s="51"/>
      <c r="AEM34" s="51"/>
      <c r="AEN34" s="51"/>
      <c r="AEO34" s="51"/>
      <c r="AEP34" s="51"/>
      <c r="AEQ34" s="51"/>
      <c r="AER34" s="51"/>
      <c r="AES34" s="51"/>
      <c r="AET34" s="51"/>
      <c r="AEU34" s="51"/>
      <c r="AEV34" s="51"/>
      <c r="AEW34" s="51"/>
      <c r="AEX34" s="51"/>
      <c r="AEY34" s="51"/>
      <c r="AEZ34" s="51"/>
      <c r="AFA34" s="51"/>
      <c r="AFB34" s="51"/>
      <c r="AFC34" s="51"/>
      <c r="AFD34" s="51"/>
      <c r="AFE34" s="51"/>
      <c r="AFF34" s="51"/>
      <c r="AFG34" s="51"/>
      <c r="AFH34" s="51"/>
      <c r="AFI34" s="51"/>
      <c r="AFJ34" s="51"/>
      <c r="AFK34" s="51"/>
      <c r="AFL34" s="51"/>
      <c r="AFM34" s="51"/>
      <c r="AFN34" s="51"/>
      <c r="AFO34" s="51"/>
      <c r="AFP34" s="51"/>
      <c r="AFQ34" s="51"/>
      <c r="AFR34" s="51"/>
      <c r="AFS34" s="51"/>
      <c r="AFT34" s="51"/>
      <c r="AFU34" s="51"/>
      <c r="AFV34" s="51"/>
      <c r="AFW34" s="51"/>
      <c r="AFX34" s="51"/>
      <c r="AFY34" s="51"/>
      <c r="AFZ34" s="51"/>
      <c r="AGA34" s="51"/>
      <c r="AGB34" s="51"/>
      <c r="AGC34" s="51"/>
      <c r="AGD34" s="51"/>
      <c r="AGE34" s="51"/>
      <c r="AGF34" s="51"/>
      <c r="AGG34" s="51"/>
      <c r="AGH34" s="51"/>
      <c r="AGI34" s="51"/>
      <c r="AGJ34" s="51"/>
      <c r="AGK34" s="51"/>
      <c r="AGL34" s="51"/>
      <c r="AGM34" s="51"/>
      <c r="AGN34" s="51"/>
      <c r="AGO34" s="51"/>
      <c r="AGP34" s="51"/>
      <c r="AGQ34" s="51"/>
      <c r="AGR34" s="51"/>
      <c r="AGS34" s="51"/>
      <c r="AGT34" s="51"/>
      <c r="AGU34" s="51"/>
      <c r="AGV34" s="51"/>
      <c r="AGW34" s="51"/>
      <c r="AGX34" s="51"/>
      <c r="AGY34" s="51"/>
      <c r="AGZ34" s="51"/>
      <c r="AHA34" s="51"/>
      <c r="AHB34" s="51"/>
      <c r="AHC34" s="51"/>
      <c r="AHD34" s="51"/>
      <c r="AHE34" s="51"/>
      <c r="AHF34" s="51"/>
      <c r="AHG34" s="51"/>
      <c r="AHH34" s="51"/>
      <c r="AHI34" s="51"/>
      <c r="AHJ34" s="51"/>
      <c r="AHK34" s="51"/>
      <c r="AHL34" s="51"/>
      <c r="AHM34" s="51"/>
      <c r="AHN34" s="51"/>
      <c r="AHO34" s="51"/>
      <c r="AHP34" s="51"/>
      <c r="AHQ34" s="51"/>
      <c r="AHR34" s="51"/>
      <c r="AHS34" s="51"/>
      <c r="AHT34" s="51"/>
      <c r="AHU34" s="51"/>
      <c r="AHV34" s="51"/>
      <c r="AHW34" s="51"/>
      <c r="AHX34" s="51"/>
      <c r="AHY34" s="51"/>
      <c r="AHZ34" s="51"/>
      <c r="AIA34" s="51"/>
      <c r="AIB34" s="51"/>
      <c r="AIC34" s="51"/>
      <c r="AID34" s="51"/>
      <c r="AIE34" s="51"/>
      <c r="AIF34" s="51"/>
      <c r="AIG34" s="51"/>
      <c r="AIH34" s="51"/>
      <c r="AII34" s="51"/>
      <c r="AIJ34" s="51"/>
      <c r="AIK34" s="51"/>
      <c r="AIL34" s="51"/>
      <c r="AIM34" s="51"/>
      <c r="AIN34" s="51"/>
      <c r="AIO34" s="51"/>
      <c r="AIP34" s="51"/>
      <c r="AIQ34" s="51"/>
      <c r="AIR34" s="51"/>
      <c r="AIS34" s="51"/>
      <c r="AIT34" s="51"/>
      <c r="AIU34" s="51"/>
      <c r="AIV34" s="51"/>
      <c r="AIW34" s="51"/>
      <c r="AIX34" s="51"/>
      <c r="AIY34" s="51"/>
      <c r="AIZ34" s="51"/>
      <c r="AJA34" s="51"/>
      <c r="AJB34" s="51"/>
      <c r="AJC34" s="51"/>
      <c r="AJD34" s="51"/>
      <c r="AJE34" s="51"/>
      <c r="AJF34" s="51"/>
      <c r="AJG34" s="51"/>
      <c r="AJH34" s="51"/>
      <c r="AJI34" s="51"/>
      <c r="AJJ34" s="51"/>
      <c r="AJK34" s="51"/>
      <c r="AJL34" s="51"/>
      <c r="AJM34" s="51"/>
      <c r="AJN34" s="51"/>
      <c r="AJO34" s="51"/>
      <c r="AJP34" s="51"/>
      <c r="AJQ34" s="51"/>
      <c r="AJR34" s="51"/>
      <c r="AJS34" s="51"/>
      <c r="AJT34" s="51"/>
      <c r="AJU34" s="51"/>
      <c r="AJV34" s="51"/>
      <c r="AJW34" s="51"/>
      <c r="AJX34" s="51"/>
      <c r="AJY34" s="51"/>
      <c r="AJZ34" s="51"/>
      <c r="AKA34" s="51"/>
      <c r="AKB34" s="51"/>
      <c r="AKC34" s="51"/>
      <c r="AKD34" s="51"/>
      <c r="AKE34" s="51"/>
      <c r="AKF34" s="51"/>
      <c r="AKG34" s="51"/>
      <c r="AKH34" s="51"/>
      <c r="AKI34" s="51"/>
      <c r="AKJ34" s="51"/>
      <c r="AKK34" s="51"/>
      <c r="AKL34" s="51"/>
      <c r="AKM34" s="51"/>
      <c r="AKN34" s="51"/>
      <c r="AKO34" s="51"/>
      <c r="AKP34" s="51"/>
      <c r="AKQ34" s="51"/>
      <c r="AKR34" s="51"/>
      <c r="AKS34" s="51"/>
      <c r="AKT34" s="51"/>
      <c r="AKU34" s="51"/>
      <c r="AKV34" s="51"/>
      <c r="AKW34" s="51"/>
      <c r="AKX34" s="51"/>
      <c r="AKY34" s="51"/>
      <c r="AKZ34" s="51"/>
      <c r="ALA34" s="51"/>
      <c r="ALB34" s="51"/>
      <c r="ALC34" s="51"/>
      <c r="ALD34" s="51"/>
      <c r="ALE34" s="51"/>
      <c r="ALF34" s="51"/>
      <c r="ALG34" s="51"/>
      <c r="ALH34" s="51"/>
      <c r="ALI34" s="51"/>
      <c r="ALJ34" s="51"/>
      <c r="ALK34" s="51"/>
      <c r="ALL34" s="51"/>
      <c r="ALM34" s="51"/>
      <c r="ALN34" s="51"/>
      <c r="ALO34" s="51"/>
      <c r="ALP34" s="51"/>
      <c r="ALQ34" s="51"/>
      <c r="ALR34" s="51"/>
      <c r="ALS34" s="51"/>
      <c r="ALT34" s="51"/>
      <c r="ALU34" s="51"/>
      <c r="ALV34" s="51"/>
      <c r="ALW34" s="51"/>
      <c r="ALX34" s="51"/>
      <c r="ALY34" s="51"/>
      <c r="ALZ34" s="51"/>
      <c r="AMA34" s="51"/>
      <c r="AMB34" s="51"/>
      <c r="AMC34" s="51"/>
      <c r="AMD34" s="51"/>
      <c r="AME34" s="51"/>
      <c r="AMF34" s="51"/>
      <c r="AMG34" s="51"/>
      <c r="AMH34" s="51"/>
      <c r="AMI34" s="51"/>
      <c r="AMJ34" s="51"/>
      <c r="AMK34" s="51"/>
    </row>
    <row r="35" spans="1:1025">
      <c r="A35" s="1245" t="s">
        <v>86</v>
      </c>
      <c r="B35" s="1245"/>
      <c r="C35" s="71"/>
      <c r="D35" s="1243"/>
      <c r="E35" s="83">
        <f>(((1+E26+E27+E28)*(1+E29)*(1+E30))/(1-E33))-1</f>
        <v>0.14012827909185233</v>
      </c>
      <c r="F35" s="71"/>
      <c r="G35" s="1240"/>
      <c r="H35" s="737">
        <f>(((1+H26+H27+H28)*(1+H29)*(1+H30))/(1-H33))-1</f>
        <v>0.17721673760466317</v>
      </c>
      <c r="I35" s="71"/>
      <c r="J35" s="71"/>
      <c r="K35" s="782">
        <v>0.111</v>
      </c>
      <c r="L35" s="782">
        <v>0.14019999999999999</v>
      </c>
      <c r="M35" s="782">
        <v>0.16800000000000001</v>
      </c>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c r="IX35" s="51"/>
      <c r="IY35" s="51"/>
      <c r="IZ35" s="51"/>
      <c r="JA35" s="51"/>
      <c r="JB35" s="51"/>
      <c r="JC35" s="51"/>
      <c r="JD35" s="51"/>
      <c r="JE35" s="51"/>
      <c r="JF35" s="51"/>
      <c r="JG35" s="51"/>
      <c r="JH35" s="51"/>
      <c r="JI35" s="51"/>
      <c r="JJ35" s="51"/>
      <c r="JK35" s="51"/>
      <c r="JL35" s="51"/>
      <c r="JM35" s="51"/>
      <c r="JN35" s="51"/>
      <c r="JO35" s="51"/>
      <c r="JP35" s="51"/>
      <c r="JQ35" s="51"/>
      <c r="JR35" s="51"/>
      <c r="JS35" s="51"/>
      <c r="JT35" s="51"/>
      <c r="JU35" s="51"/>
      <c r="JV35" s="51"/>
      <c r="JW35" s="51"/>
      <c r="JX35" s="51"/>
      <c r="JY35" s="51"/>
      <c r="JZ35" s="51"/>
      <c r="KA35" s="51"/>
      <c r="KB35" s="51"/>
      <c r="KC35" s="51"/>
      <c r="KD35" s="51"/>
      <c r="KE35" s="51"/>
      <c r="KF35" s="51"/>
      <c r="KG35" s="51"/>
      <c r="KH35" s="51"/>
      <c r="KI35" s="51"/>
      <c r="KJ35" s="51"/>
      <c r="KK35" s="51"/>
      <c r="KL35" s="51"/>
      <c r="KM35" s="51"/>
      <c r="KN35" s="51"/>
      <c r="KO35" s="51"/>
      <c r="KP35" s="51"/>
      <c r="KQ35" s="51"/>
      <c r="KR35" s="51"/>
      <c r="KS35" s="51"/>
      <c r="KT35" s="51"/>
      <c r="KU35" s="51"/>
      <c r="KV35" s="51"/>
      <c r="KW35" s="51"/>
      <c r="KX35" s="51"/>
      <c r="KY35" s="51"/>
      <c r="KZ35" s="51"/>
      <c r="LA35" s="51"/>
      <c r="LB35" s="51"/>
      <c r="LC35" s="51"/>
      <c r="LD35" s="51"/>
      <c r="LE35" s="51"/>
      <c r="LF35" s="51"/>
      <c r="LG35" s="51"/>
      <c r="LH35" s="51"/>
      <c r="LI35" s="51"/>
      <c r="LJ35" s="51"/>
      <c r="LK35" s="51"/>
      <c r="LL35" s="51"/>
      <c r="LM35" s="51"/>
      <c r="LN35" s="51"/>
      <c r="LO35" s="51"/>
      <c r="LP35" s="51"/>
      <c r="LQ35" s="51"/>
      <c r="LR35" s="51"/>
      <c r="LS35" s="51"/>
      <c r="LT35" s="51"/>
      <c r="LU35" s="51"/>
      <c r="LV35" s="51"/>
      <c r="LW35" s="51"/>
      <c r="LX35" s="51"/>
      <c r="LY35" s="51"/>
      <c r="LZ35" s="51"/>
      <c r="MA35" s="51"/>
      <c r="MB35" s="51"/>
      <c r="MC35" s="51"/>
      <c r="MD35" s="51"/>
      <c r="ME35" s="51"/>
      <c r="MF35" s="51"/>
      <c r="MG35" s="51"/>
      <c r="MH35" s="51"/>
      <c r="MI35" s="51"/>
      <c r="MJ35" s="51"/>
      <c r="MK35" s="51"/>
      <c r="ML35" s="51"/>
      <c r="MM35" s="51"/>
      <c r="MN35" s="51"/>
      <c r="MO35" s="51"/>
      <c r="MP35" s="51"/>
      <c r="MQ35" s="51"/>
      <c r="MR35" s="51"/>
      <c r="MS35" s="51"/>
      <c r="MT35" s="51"/>
      <c r="MU35" s="51"/>
      <c r="MV35" s="51"/>
      <c r="MW35" s="51"/>
      <c r="MX35" s="51"/>
      <c r="MY35" s="51"/>
      <c r="MZ35" s="51"/>
      <c r="NA35" s="51"/>
      <c r="NB35" s="51"/>
      <c r="NC35" s="51"/>
      <c r="ND35" s="51"/>
      <c r="NE35" s="51"/>
      <c r="NF35" s="51"/>
      <c r="NG35" s="51"/>
      <c r="NH35" s="51"/>
      <c r="NI35" s="51"/>
      <c r="NJ35" s="51"/>
      <c r="NK35" s="51"/>
      <c r="NL35" s="51"/>
      <c r="NM35" s="51"/>
      <c r="NN35" s="51"/>
      <c r="NO35" s="51"/>
      <c r="NP35" s="51"/>
      <c r="NQ35" s="51"/>
      <c r="NR35" s="51"/>
      <c r="NS35" s="51"/>
      <c r="NT35" s="51"/>
      <c r="NU35" s="51"/>
      <c r="NV35" s="51"/>
      <c r="NW35" s="51"/>
      <c r="NX35" s="51"/>
      <c r="NY35" s="51"/>
      <c r="NZ35" s="51"/>
      <c r="OA35" s="51"/>
      <c r="OB35" s="51"/>
      <c r="OC35" s="51"/>
      <c r="OD35" s="51"/>
      <c r="OE35" s="51"/>
      <c r="OF35" s="51"/>
      <c r="OG35" s="51"/>
      <c r="OH35" s="51"/>
      <c r="OI35" s="51"/>
      <c r="OJ35" s="51"/>
      <c r="OK35" s="51"/>
      <c r="OL35" s="51"/>
      <c r="OM35" s="51"/>
      <c r="ON35" s="51"/>
      <c r="OO35" s="51"/>
      <c r="OP35" s="51"/>
      <c r="OQ35" s="51"/>
      <c r="OR35" s="51"/>
      <c r="OS35" s="51"/>
      <c r="OT35" s="51"/>
      <c r="OU35" s="51"/>
      <c r="OV35" s="51"/>
      <c r="OW35" s="51"/>
      <c r="OX35" s="51"/>
      <c r="OY35" s="51"/>
      <c r="OZ35" s="51"/>
      <c r="PA35" s="51"/>
      <c r="PB35" s="51"/>
      <c r="PC35" s="51"/>
      <c r="PD35" s="51"/>
      <c r="PE35" s="51"/>
      <c r="PF35" s="51"/>
      <c r="PG35" s="51"/>
      <c r="PH35" s="51"/>
      <c r="PI35" s="51"/>
      <c r="PJ35" s="51"/>
      <c r="PK35" s="51"/>
      <c r="PL35" s="51"/>
      <c r="PM35" s="51"/>
      <c r="PN35" s="51"/>
      <c r="PO35" s="51"/>
      <c r="PP35" s="51"/>
      <c r="PQ35" s="51"/>
      <c r="PR35" s="51"/>
      <c r="PS35" s="51"/>
      <c r="PT35" s="51"/>
      <c r="PU35" s="51"/>
      <c r="PV35" s="51"/>
      <c r="PW35" s="51"/>
      <c r="PX35" s="51"/>
      <c r="PY35" s="51"/>
      <c r="PZ35" s="51"/>
      <c r="QA35" s="51"/>
      <c r="QB35" s="51"/>
      <c r="QC35" s="51"/>
      <c r="QD35" s="51"/>
      <c r="QE35" s="51"/>
      <c r="QF35" s="51"/>
      <c r="QG35" s="51"/>
      <c r="QH35" s="51"/>
      <c r="QI35" s="51"/>
      <c r="QJ35" s="51"/>
      <c r="QK35" s="51"/>
      <c r="QL35" s="51"/>
      <c r="QM35" s="51"/>
      <c r="QN35" s="51"/>
      <c r="QO35" s="51"/>
      <c r="QP35" s="51"/>
      <c r="QQ35" s="51"/>
      <c r="QR35" s="51"/>
      <c r="QS35" s="51"/>
      <c r="QT35" s="51"/>
      <c r="QU35" s="51"/>
      <c r="QV35" s="51"/>
      <c r="QW35" s="51"/>
      <c r="QX35" s="51"/>
      <c r="QY35" s="51"/>
      <c r="QZ35" s="51"/>
      <c r="RA35" s="51"/>
      <c r="RB35" s="51"/>
      <c r="RC35" s="51"/>
      <c r="RD35" s="51"/>
      <c r="RE35" s="51"/>
      <c r="RF35" s="51"/>
      <c r="RG35" s="51"/>
      <c r="RH35" s="51"/>
      <c r="RI35" s="51"/>
      <c r="RJ35" s="51"/>
      <c r="RK35" s="51"/>
      <c r="RL35" s="51"/>
      <c r="RM35" s="51"/>
      <c r="RN35" s="51"/>
      <c r="RO35" s="51"/>
      <c r="RP35" s="51"/>
      <c r="RQ35" s="51"/>
      <c r="RR35" s="51"/>
      <c r="RS35" s="51"/>
      <c r="RT35" s="51"/>
      <c r="RU35" s="51"/>
      <c r="RV35" s="51"/>
      <c r="RW35" s="51"/>
      <c r="RX35" s="51"/>
      <c r="RY35" s="51"/>
      <c r="RZ35" s="51"/>
      <c r="SA35" s="51"/>
      <c r="SB35" s="51"/>
      <c r="SC35" s="51"/>
      <c r="SD35" s="51"/>
      <c r="SE35" s="51"/>
      <c r="SF35" s="51"/>
      <c r="SG35" s="51"/>
      <c r="SH35" s="51"/>
      <c r="SI35" s="51"/>
      <c r="SJ35" s="51"/>
      <c r="SK35" s="51"/>
      <c r="SL35" s="51"/>
      <c r="SM35" s="51"/>
      <c r="SN35" s="51"/>
      <c r="SO35" s="51"/>
      <c r="SP35" s="51"/>
      <c r="SQ35" s="51"/>
      <c r="SR35" s="51"/>
      <c r="SS35" s="51"/>
      <c r="ST35" s="51"/>
      <c r="SU35" s="51"/>
      <c r="SV35" s="51"/>
      <c r="SW35" s="51"/>
      <c r="SX35" s="51"/>
      <c r="SY35" s="51"/>
      <c r="SZ35" s="51"/>
      <c r="TA35" s="51"/>
      <c r="TB35" s="51"/>
      <c r="TC35" s="51"/>
      <c r="TD35" s="51"/>
      <c r="TE35" s="51"/>
      <c r="TF35" s="51"/>
      <c r="TG35" s="51"/>
      <c r="TH35" s="51"/>
      <c r="TI35" s="51"/>
      <c r="TJ35" s="51"/>
      <c r="TK35" s="51"/>
      <c r="TL35" s="51"/>
      <c r="TM35" s="51"/>
      <c r="TN35" s="51"/>
      <c r="TO35" s="51"/>
      <c r="TP35" s="51"/>
      <c r="TQ35" s="51"/>
      <c r="TR35" s="51"/>
      <c r="TS35" s="51"/>
      <c r="TT35" s="51"/>
      <c r="TU35" s="51"/>
      <c r="TV35" s="51"/>
      <c r="TW35" s="51"/>
      <c r="TX35" s="51"/>
      <c r="TY35" s="51"/>
      <c r="TZ35" s="51"/>
      <c r="UA35" s="51"/>
      <c r="UB35" s="51"/>
      <c r="UC35" s="51"/>
      <c r="UD35" s="51"/>
      <c r="UE35" s="51"/>
      <c r="UF35" s="51"/>
      <c r="UG35" s="51"/>
      <c r="UH35" s="51"/>
      <c r="UI35" s="51"/>
      <c r="UJ35" s="51"/>
      <c r="UK35" s="51"/>
      <c r="UL35" s="51"/>
      <c r="UM35" s="51"/>
      <c r="UN35" s="51"/>
      <c r="UO35" s="51"/>
      <c r="UP35" s="51"/>
      <c r="UQ35" s="51"/>
      <c r="UR35" s="51"/>
      <c r="US35" s="51"/>
      <c r="UT35" s="51"/>
      <c r="UU35" s="51"/>
      <c r="UV35" s="51"/>
      <c r="UW35" s="51"/>
      <c r="UX35" s="51"/>
      <c r="UY35" s="51"/>
      <c r="UZ35" s="51"/>
      <c r="VA35" s="51"/>
      <c r="VB35" s="51"/>
      <c r="VC35" s="51"/>
      <c r="VD35" s="51"/>
      <c r="VE35" s="51"/>
      <c r="VF35" s="51"/>
      <c r="VG35" s="51"/>
      <c r="VH35" s="51"/>
      <c r="VI35" s="51"/>
      <c r="VJ35" s="51"/>
      <c r="VK35" s="51"/>
      <c r="VL35" s="51"/>
      <c r="VM35" s="51"/>
      <c r="VN35" s="51"/>
      <c r="VO35" s="51"/>
      <c r="VP35" s="51"/>
      <c r="VQ35" s="51"/>
      <c r="VR35" s="51"/>
      <c r="VS35" s="51"/>
      <c r="VT35" s="51"/>
      <c r="VU35" s="51"/>
      <c r="VV35" s="51"/>
      <c r="VW35" s="51"/>
      <c r="VX35" s="51"/>
      <c r="VY35" s="51"/>
      <c r="VZ35" s="51"/>
      <c r="WA35" s="51"/>
      <c r="WB35" s="51"/>
      <c r="WC35" s="51"/>
      <c r="WD35" s="51"/>
      <c r="WE35" s="51"/>
      <c r="WF35" s="51"/>
      <c r="WG35" s="51"/>
      <c r="WH35" s="51"/>
      <c r="WI35" s="51"/>
      <c r="WJ35" s="51"/>
      <c r="WK35" s="51"/>
      <c r="WL35" s="51"/>
      <c r="WM35" s="51"/>
      <c r="WN35" s="51"/>
      <c r="WO35" s="51"/>
      <c r="WP35" s="51"/>
      <c r="WQ35" s="51"/>
      <c r="WR35" s="51"/>
      <c r="WS35" s="51"/>
      <c r="WT35" s="51"/>
      <c r="WU35" s="51"/>
      <c r="WV35" s="51"/>
      <c r="WW35" s="51"/>
      <c r="WX35" s="51"/>
      <c r="WY35" s="51"/>
      <c r="WZ35" s="51"/>
      <c r="XA35" s="51"/>
      <c r="XB35" s="51"/>
      <c r="XC35" s="51"/>
      <c r="XD35" s="51"/>
      <c r="XE35" s="51"/>
      <c r="XF35" s="51"/>
      <c r="XG35" s="51"/>
      <c r="XH35" s="51"/>
      <c r="XI35" s="51"/>
      <c r="XJ35" s="51"/>
      <c r="XK35" s="51"/>
      <c r="XL35" s="51"/>
      <c r="XM35" s="51"/>
      <c r="XN35" s="51"/>
      <c r="XO35" s="51"/>
      <c r="XP35" s="51"/>
      <c r="XQ35" s="51"/>
      <c r="XR35" s="51"/>
      <c r="XS35" s="51"/>
      <c r="XT35" s="51"/>
      <c r="XU35" s="51"/>
      <c r="XV35" s="51"/>
      <c r="XW35" s="51"/>
      <c r="XX35" s="51"/>
      <c r="XY35" s="51"/>
      <c r="XZ35" s="51"/>
      <c r="YA35" s="51"/>
      <c r="YB35" s="51"/>
      <c r="YC35" s="51"/>
      <c r="YD35" s="51"/>
      <c r="YE35" s="51"/>
      <c r="YF35" s="51"/>
      <c r="YG35" s="51"/>
      <c r="YH35" s="51"/>
      <c r="YI35" s="51"/>
      <c r="YJ35" s="51"/>
      <c r="YK35" s="51"/>
      <c r="YL35" s="51"/>
      <c r="YM35" s="51"/>
      <c r="YN35" s="51"/>
      <c r="YO35" s="51"/>
      <c r="YP35" s="51"/>
      <c r="YQ35" s="51"/>
      <c r="YR35" s="51"/>
      <c r="YS35" s="51"/>
      <c r="YT35" s="51"/>
      <c r="YU35" s="51"/>
      <c r="YV35" s="51"/>
      <c r="YW35" s="51"/>
      <c r="YX35" s="51"/>
      <c r="YY35" s="51"/>
      <c r="YZ35" s="51"/>
      <c r="ZA35" s="51"/>
      <c r="ZB35" s="51"/>
      <c r="ZC35" s="51"/>
      <c r="ZD35" s="51"/>
      <c r="ZE35" s="51"/>
      <c r="ZF35" s="51"/>
      <c r="ZG35" s="51"/>
      <c r="ZH35" s="51"/>
      <c r="ZI35" s="51"/>
      <c r="ZJ35" s="51"/>
      <c r="ZK35" s="51"/>
      <c r="ZL35" s="51"/>
      <c r="ZM35" s="51"/>
      <c r="ZN35" s="51"/>
      <c r="ZO35" s="51"/>
      <c r="ZP35" s="51"/>
      <c r="ZQ35" s="51"/>
      <c r="ZR35" s="51"/>
      <c r="ZS35" s="51"/>
      <c r="ZT35" s="51"/>
      <c r="ZU35" s="51"/>
      <c r="ZV35" s="51"/>
      <c r="ZW35" s="51"/>
      <c r="ZX35" s="51"/>
      <c r="ZY35" s="51"/>
      <c r="ZZ35" s="51"/>
      <c r="AAA35" s="51"/>
      <c r="AAB35" s="51"/>
      <c r="AAC35" s="51"/>
      <c r="AAD35" s="51"/>
      <c r="AAE35" s="51"/>
      <c r="AAF35" s="51"/>
      <c r="AAG35" s="51"/>
      <c r="AAH35" s="51"/>
      <c r="AAI35" s="51"/>
      <c r="AAJ35" s="51"/>
      <c r="AAK35" s="51"/>
      <c r="AAL35" s="51"/>
      <c r="AAM35" s="51"/>
      <c r="AAN35" s="51"/>
      <c r="AAO35" s="51"/>
      <c r="AAP35" s="51"/>
      <c r="AAQ35" s="51"/>
      <c r="AAR35" s="51"/>
      <c r="AAS35" s="51"/>
      <c r="AAT35" s="51"/>
      <c r="AAU35" s="51"/>
      <c r="AAV35" s="51"/>
      <c r="AAW35" s="51"/>
      <c r="AAX35" s="51"/>
      <c r="AAY35" s="51"/>
      <c r="AAZ35" s="51"/>
      <c r="ABA35" s="51"/>
      <c r="ABB35" s="51"/>
      <c r="ABC35" s="51"/>
      <c r="ABD35" s="51"/>
      <c r="ABE35" s="51"/>
      <c r="ABF35" s="51"/>
      <c r="ABG35" s="51"/>
      <c r="ABH35" s="51"/>
      <c r="ABI35" s="51"/>
      <c r="ABJ35" s="51"/>
      <c r="ABK35" s="51"/>
      <c r="ABL35" s="51"/>
      <c r="ABM35" s="51"/>
      <c r="ABN35" s="51"/>
      <c r="ABO35" s="51"/>
      <c r="ABP35" s="51"/>
      <c r="ABQ35" s="51"/>
      <c r="ABR35" s="51"/>
      <c r="ABS35" s="51"/>
      <c r="ABT35" s="51"/>
      <c r="ABU35" s="51"/>
      <c r="ABV35" s="51"/>
      <c r="ABW35" s="51"/>
      <c r="ABX35" s="51"/>
      <c r="ABY35" s="51"/>
      <c r="ABZ35" s="51"/>
      <c r="ACA35" s="51"/>
      <c r="ACB35" s="51"/>
      <c r="ACC35" s="51"/>
      <c r="ACD35" s="51"/>
      <c r="ACE35" s="51"/>
      <c r="ACF35" s="51"/>
      <c r="ACG35" s="51"/>
      <c r="ACH35" s="51"/>
      <c r="ACI35" s="51"/>
      <c r="ACJ35" s="51"/>
      <c r="ACK35" s="51"/>
      <c r="ACL35" s="51"/>
      <c r="ACM35" s="51"/>
      <c r="ACN35" s="51"/>
      <c r="ACO35" s="51"/>
      <c r="ACP35" s="51"/>
      <c r="ACQ35" s="51"/>
      <c r="ACR35" s="51"/>
      <c r="ACS35" s="51"/>
      <c r="ACT35" s="51"/>
      <c r="ACU35" s="51"/>
      <c r="ACV35" s="51"/>
      <c r="ACW35" s="51"/>
      <c r="ACX35" s="51"/>
      <c r="ACY35" s="51"/>
      <c r="ACZ35" s="51"/>
      <c r="ADA35" s="51"/>
      <c r="ADB35" s="51"/>
      <c r="ADC35" s="51"/>
      <c r="ADD35" s="51"/>
      <c r="ADE35" s="51"/>
      <c r="ADF35" s="51"/>
      <c r="ADG35" s="51"/>
      <c r="ADH35" s="51"/>
      <c r="ADI35" s="51"/>
      <c r="ADJ35" s="51"/>
      <c r="ADK35" s="51"/>
      <c r="ADL35" s="51"/>
      <c r="ADM35" s="51"/>
      <c r="ADN35" s="51"/>
      <c r="ADO35" s="51"/>
      <c r="ADP35" s="51"/>
      <c r="ADQ35" s="51"/>
      <c r="ADR35" s="51"/>
      <c r="ADS35" s="51"/>
      <c r="ADT35" s="51"/>
      <c r="ADU35" s="51"/>
      <c r="ADV35" s="51"/>
      <c r="ADW35" s="51"/>
      <c r="ADX35" s="51"/>
      <c r="ADY35" s="51"/>
      <c r="ADZ35" s="51"/>
      <c r="AEA35" s="51"/>
      <c r="AEB35" s="51"/>
      <c r="AEC35" s="51"/>
      <c r="AED35" s="51"/>
      <c r="AEE35" s="51"/>
      <c r="AEF35" s="51"/>
      <c r="AEG35" s="51"/>
      <c r="AEH35" s="51"/>
      <c r="AEI35" s="51"/>
      <c r="AEJ35" s="51"/>
      <c r="AEK35" s="51"/>
      <c r="AEL35" s="51"/>
      <c r="AEM35" s="51"/>
      <c r="AEN35" s="51"/>
      <c r="AEO35" s="51"/>
      <c r="AEP35" s="51"/>
      <c r="AEQ35" s="51"/>
      <c r="AER35" s="51"/>
      <c r="AES35" s="51"/>
      <c r="AET35" s="51"/>
      <c r="AEU35" s="51"/>
      <c r="AEV35" s="51"/>
      <c r="AEW35" s="51"/>
      <c r="AEX35" s="51"/>
      <c r="AEY35" s="51"/>
      <c r="AEZ35" s="51"/>
      <c r="AFA35" s="51"/>
      <c r="AFB35" s="51"/>
      <c r="AFC35" s="51"/>
      <c r="AFD35" s="51"/>
      <c r="AFE35" s="51"/>
      <c r="AFF35" s="51"/>
      <c r="AFG35" s="51"/>
      <c r="AFH35" s="51"/>
      <c r="AFI35" s="51"/>
      <c r="AFJ35" s="51"/>
      <c r="AFK35" s="51"/>
      <c r="AFL35" s="51"/>
      <c r="AFM35" s="51"/>
      <c r="AFN35" s="51"/>
      <c r="AFO35" s="51"/>
      <c r="AFP35" s="51"/>
      <c r="AFQ35" s="51"/>
      <c r="AFR35" s="51"/>
      <c r="AFS35" s="51"/>
      <c r="AFT35" s="51"/>
      <c r="AFU35" s="51"/>
      <c r="AFV35" s="51"/>
      <c r="AFW35" s="51"/>
      <c r="AFX35" s="51"/>
      <c r="AFY35" s="51"/>
      <c r="AFZ35" s="51"/>
      <c r="AGA35" s="51"/>
      <c r="AGB35" s="51"/>
      <c r="AGC35" s="51"/>
      <c r="AGD35" s="51"/>
      <c r="AGE35" s="51"/>
      <c r="AGF35" s="51"/>
      <c r="AGG35" s="51"/>
      <c r="AGH35" s="51"/>
      <c r="AGI35" s="51"/>
      <c r="AGJ35" s="51"/>
      <c r="AGK35" s="51"/>
      <c r="AGL35" s="51"/>
      <c r="AGM35" s="51"/>
      <c r="AGN35" s="51"/>
      <c r="AGO35" s="51"/>
      <c r="AGP35" s="51"/>
      <c r="AGQ35" s="51"/>
      <c r="AGR35" s="51"/>
      <c r="AGS35" s="51"/>
      <c r="AGT35" s="51"/>
      <c r="AGU35" s="51"/>
      <c r="AGV35" s="51"/>
      <c r="AGW35" s="51"/>
      <c r="AGX35" s="51"/>
      <c r="AGY35" s="51"/>
      <c r="AGZ35" s="51"/>
      <c r="AHA35" s="51"/>
      <c r="AHB35" s="51"/>
      <c r="AHC35" s="51"/>
      <c r="AHD35" s="51"/>
      <c r="AHE35" s="51"/>
      <c r="AHF35" s="51"/>
      <c r="AHG35" s="51"/>
      <c r="AHH35" s="51"/>
      <c r="AHI35" s="51"/>
      <c r="AHJ35" s="51"/>
      <c r="AHK35" s="51"/>
      <c r="AHL35" s="51"/>
      <c r="AHM35" s="51"/>
      <c r="AHN35" s="51"/>
      <c r="AHO35" s="51"/>
      <c r="AHP35" s="51"/>
      <c r="AHQ35" s="51"/>
      <c r="AHR35" s="51"/>
      <c r="AHS35" s="51"/>
      <c r="AHT35" s="51"/>
      <c r="AHU35" s="51"/>
      <c r="AHV35" s="51"/>
      <c r="AHW35" s="51"/>
      <c r="AHX35" s="51"/>
      <c r="AHY35" s="51"/>
      <c r="AHZ35" s="51"/>
      <c r="AIA35" s="51"/>
      <c r="AIB35" s="51"/>
      <c r="AIC35" s="51"/>
      <c r="AID35" s="51"/>
      <c r="AIE35" s="51"/>
      <c r="AIF35" s="51"/>
      <c r="AIG35" s="51"/>
      <c r="AIH35" s="51"/>
      <c r="AII35" s="51"/>
      <c r="AIJ35" s="51"/>
      <c r="AIK35" s="51"/>
      <c r="AIL35" s="51"/>
      <c r="AIM35" s="51"/>
      <c r="AIN35" s="51"/>
      <c r="AIO35" s="51"/>
      <c r="AIP35" s="51"/>
      <c r="AIQ35" s="51"/>
      <c r="AIR35" s="51"/>
      <c r="AIS35" s="51"/>
      <c r="AIT35" s="51"/>
      <c r="AIU35" s="51"/>
      <c r="AIV35" s="51"/>
      <c r="AIW35" s="51"/>
      <c r="AIX35" s="51"/>
      <c r="AIY35" s="51"/>
      <c r="AIZ35" s="51"/>
      <c r="AJA35" s="51"/>
      <c r="AJB35" s="51"/>
      <c r="AJC35" s="51"/>
      <c r="AJD35" s="51"/>
      <c r="AJE35" s="51"/>
      <c r="AJF35" s="51"/>
      <c r="AJG35" s="51"/>
      <c r="AJH35" s="51"/>
      <c r="AJI35" s="51"/>
      <c r="AJJ35" s="51"/>
      <c r="AJK35" s="51"/>
      <c r="AJL35" s="51"/>
      <c r="AJM35" s="51"/>
      <c r="AJN35" s="51"/>
      <c r="AJO35" s="51"/>
      <c r="AJP35" s="51"/>
      <c r="AJQ35" s="51"/>
      <c r="AJR35" s="51"/>
      <c r="AJS35" s="51"/>
      <c r="AJT35" s="51"/>
      <c r="AJU35" s="51"/>
      <c r="AJV35" s="51"/>
      <c r="AJW35" s="51"/>
      <c r="AJX35" s="51"/>
      <c r="AJY35" s="51"/>
      <c r="AJZ35" s="51"/>
      <c r="AKA35" s="51"/>
      <c r="AKB35" s="51"/>
      <c r="AKC35" s="51"/>
      <c r="AKD35" s="51"/>
      <c r="AKE35" s="51"/>
      <c r="AKF35" s="51"/>
      <c r="AKG35" s="51"/>
      <c r="AKH35" s="51"/>
      <c r="AKI35" s="51"/>
      <c r="AKJ35" s="51"/>
      <c r="AKK35" s="51"/>
      <c r="AKL35" s="51"/>
      <c r="AKM35" s="51"/>
      <c r="AKN35" s="51"/>
      <c r="AKO35" s="51"/>
      <c r="AKP35" s="51"/>
      <c r="AKQ35" s="51"/>
      <c r="AKR35" s="51"/>
      <c r="AKS35" s="51"/>
      <c r="AKT35" s="51"/>
      <c r="AKU35" s="51"/>
      <c r="AKV35" s="51"/>
      <c r="AKW35" s="51"/>
      <c r="AKX35" s="51"/>
      <c r="AKY35" s="51"/>
      <c r="AKZ35" s="51"/>
      <c r="ALA35" s="51"/>
      <c r="ALB35" s="51"/>
      <c r="ALC35" s="51"/>
      <c r="ALD35" s="51"/>
      <c r="ALE35" s="51"/>
      <c r="ALF35" s="51"/>
      <c r="ALG35" s="51"/>
      <c r="ALH35" s="51"/>
      <c r="ALI35" s="51"/>
      <c r="ALJ35" s="51"/>
      <c r="ALK35" s="51"/>
      <c r="ALL35" s="51"/>
      <c r="ALM35" s="51"/>
      <c r="ALN35" s="51"/>
      <c r="ALO35" s="51"/>
      <c r="ALP35" s="51"/>
      <c r="ALQ35" s="51"/>
      <c r="ALR35" s="51"/>
      <c r="ALS35" s="51"/>
      <c r="ALT35" s="51"/>
      <c r="ALU35" s="51"/>
      <c r="ALV35" s="51"/>
      <c r="ALW35" s="51"/>
      <c r="ALX35" s="51"/>
      <c r="ALY35" s="51"/>
      <c r="ALZ35" s="51"/>
      <c r="AMA35" s="51"/>
      <c r="AMB35" s="51"/>
      <c r="AMC35" s="51"/>
      <c r="AMD35" s="51"/>
      <c r="AME35" s="51"/>
      <c r="AMF35" s="51"/>
      <c r="AMG35" s="51"/>
      <c r="AMH35" s="51"/>
      <c r="AMI35" s="51"/>
      <c r="AMJ35" s="51"/>
      <c r="AMK35" s="51"/>
    </row>
    <row r="36" spans="1:1025">
      <c r="A36" s="1246" t="s">
        <v>133</v>
      </c>
      <c r="B36" s="1246"/>
      <c r="C36" s="71"/>
      <c r="D36" s="1244"/>
      <c r="E36" s="84"/>
      <c r="F36" s="71"/>
      <c r="G36" s="1240"/>
      <c r="H36" s="738"/>
      <c r="I36" s="71"/>
      <c r="J36" s="71"/>
      <c r="K36" s="71"/>
      <c r="L36" s="71"/>
      <c r="M36" s="7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c r="GL36" s="51"/>
      <c r="GM36" s="51"/>
      <c r="GN36" s="51"/>
      <c r="GO36" s="51"/>
      <c r="GP36" s="51"/>
      <c r="GQ36" s="51"/>
      <c r="GR36" s="51"/>
      <c r="GS36" s="51"/>
      <c r="GT36" s="51"/>
      <c r="GU36" s="51"/>
      <c r="GV36" s="51"/>
      <c r="GW36" s="51"/>
      <c r="GX36" s="51"/>
      <c r="GY36" s="51"/>
      <c r="GZ36" s="51"/>
      <c r="HA36" s="51"/>
      <c r="HB36" s="51"/>
      <c r="HC36" s="51"/>
      <c r="HD36" s="51"/>
      <c r="HE36" s="51"/>
      <c r="HF36" s="51"/>
      <c r="HG36" s="51"/>
      <c r="HH36" s="51"/>
      <c r="HI36" s="51"/>
      <c r="HJ36" s="51"/>
      <c r="HK36" s="51"/>
      <c r="HL36" s="51"/>
      <c r="HM36" s="51"/>
      <c r="HN36" s="51"/>
      <c r="HO36" s="51"/>
      <c r="HP36" s="51"/>
      <c r="HQ36" s="51"/>
      <c r="HR36" s="51"/>
      <c r="HS36" s="51"/>
      <c r="HT36" s="51"/>
      <c r="HU36" s="51"/>
      <c r="HV36" s="51"/>
      <c r="HW36" s="51"/>
      <c r="HX36" s="51"/>
      <c r="HY36" s="51"/>
      <c r="HZ36" s="51"/>
      <c r="IA36" s="51"/>
      <c r="IB36" s="51"/>
      <c r="IC36" s="51"/>
      <c r="ID36" s="51"/>
      <c r="IE36" s="51"/>
      <c r="IF36" s="51"/>
      <c r="IG36" s="51"/>
      <c r="IH36" s="51"/>
      <c r="II36" s="51"/>
      <c r="IJ36" s="51"/>
      <c r="IK36" s="51"/>
      <c r="IL36" s="51"/>
      <c r="IM36" s="51"/>
      <c r="IN36" s="51"/>
      <c r="IO36" s="51"/>
      <c r="IP36" s="51"/>
      <c r="IQ36" s="51"/>
      <c r="IR36" s="51"/>
      <c r="IS36" s="51"/>
      <c r="IT36" s="51"/>
      <c r="IU36" s="51"/>
      <c r="IV36" s="51"/>
      <c r="IW36" s="51"/>
      <c r="IX36" s="51"/>
      <c r="IY36" s="51"/>
      <c r="IZ36" s="51"/>
      <c r="JA36" s="51"/>
      <c r="JB36" s="51"/>
      <c r="JC36" s="51"/>
      <c r="JD36" s="51"/>
      <c r="JE36" s="51"/>
      <c r="JF36" s="51"/>
      <c r="JG36" s="51"/>
      <c r="JH36" s="51"/>
      <c r="JI36" s="51"/>
      <c r="JJ36" s="51"/>
      <c r="JK36" s="51"/>
      <c r="JL36" s="51"/>
      <c r="JM36" s="51"/>
      <c r="JN36" s="51"/>
      <c r="JO36" s="51"/>
      <c r="JP36" s="51"/>
      <c r="JQ36" s="51"/>
      <c r="JR36" s="51"/>
      <c r="JS36" s="51"/>
      <c r="JT36" s="51"/>
      <c r="JU36" s="51"/>
      <c r="JV36" s="51"/>
      <c r="JW36" s="51"/>
      <c r="JX36" s="51"/>
      <c r="JY36" s="51"/>
      <c r="JZ36" s="51"/>
      <c r="KA36" s="51"/>
      <c r="KB36" s="51"/>
      <c r="KC36" s="51"/>
      <c r="KD36" s="51"/>
      <c r="KE36" s="51"/>
      <c r="KF36" s="51"/>
      <c r="KG36" s="51"/>
      <c r="KH36" s="51"/>
      <c r="KI36" s="51"/>
      <c r="KJ36" s="51"/>
      <c r="KK36" s="51"/>
      <c r="KL36" s="51"/>
      <c r="KM36" s="51"/>
      <c r="KN36" s="51"/>
      <c r="KO36" s="51"/>
      <c r="KP36" s="51"/>
      <c r="KQ36" s="51"/>
      <c r="KR36" s="51"/>
      <c r="KS36" s="51"/>
      <c r="KT36" s="51"/>
      <c r="KU36" s="51"/>
      <c r="KV36" s="51"/>
      <c r="KW36" s="51"/>
      <c r="KX36" s="51"/>
      <c r="KY36" s="51"/>
      <c r="KZ36" s="51"/>
      <c r="LA36" s="51"/>
      <c r="LB36" s="51"/>
      <c r="LC36" s="51"/>
      <c r="LD36" s="51"/>
      <c r="LE36" s="51"/>
      <c r="LF36" s="51"/>
      <c r="LG36" s="51"/>
      <c r="LH36" s="51"/>
      <c r="LI36" s="51"/>
      <c r="LJ36" s="51"/>
      <c r="LK36" s="51"/>
      <c r="LL36" s="51"/>
      <c r="LM36" s="51"/>
      <c r="LN36" s="51"/>
      <c r="LO36" s="51"/>
      <c r="LP36" s="51"/>
      <c r="LQ36" s="51"/>
      <c r="LR36" s="51"/>
      <c r="LS36" s="51"/>
      <c r="LT36" s="51"/>
      <c r="LU36" s="51"/>
      <c r="LV36" s="51"/>
      <c r="LW36" s="51"/>
      <c r="LX36" s="51"/>
      <c r="LY36" s="51"/>
      <c r="LZ36" s="51"/>
      <c r="MA36" s="51"/>
      <c r="MB36" s="51"/>
      <c r="MC36" s="51"/>
      <c r="MD36" s="51"/>
      <c r="ME36" s="51"/>
      <c r="MF36" s="51"/>
      <c r="MG36" s="51"/>
      <c r="MH36" s="51"/>
      <c r="MI36" s="51"/>
      <c r="MJ36" s="51"/>
      <c r="MK36" s="51"/>
      <c r="ML36" s="51"/>
      <c r="MM36" s="51"/>
      <c r="MN36" s="51"/>
      <c r="MO36" s="51"/>
      <c r="MP36" s="51"/>
      <c r="MQ36" s="51"/>
      <c r="MR36" s="51"/>
      <c r="MS36" s="51"/>
      <c r="MT36" s="51"/>
      <c r="MU36" s="51"/>
      <c r="MV36" s="51"/>
      <c r="MW36" s="51"/>
      <c r="MX36" s="51"/>
      <c r="MY36" s="51"/>
      <c r="MZ36" s="51"/>
      <c r="NA36" s="51"/>
      <c r="NB36" s="51"/>
      <c r="NC36" s="51"/>
      <c r="ND36" s="51"/>
      <c r="NE36" s="51"/>
      <c r="NF36" s="51"/>
      <c r="NG36" s="51"/>
      <c r="NH36" s="51"/>
      <c r="NI36" s="51"/>
      <c r="NJ36" s="51"/>
      <c r="NK36" s="51"/>
      <c r="NL36" s="51"/>
      <c r="NM36" s="51"/>
      <c r="NN36" s="51"/>
      <c r="NO36" s="51"/>
      <c r="NP36" s="51"/>
      <c r="NQ36" s="51"/>
      <c r="NR36" s="51"/>
      <c r="NS36" s="51"/>
      <c r="NT36" s="51"/>
      <c r="NU36" s="51"/>
      <c r="NV36" s="51"/>
      <c r="NW36" s="51"/>
      <c r="NX36" s="51"/>
      <c r="NY36" s="51"/>
      <c r="NZ36" s="51"/>
      <c r="OA36" s="51"/>
      <c r="OB36" s="51"/>
      <c r="OC36" s="51"/>
      <c r="OD36" s="51"/>
      <c r="OE36" s="51"/>
      <c r="OF36" s="51"/>
      <c r="OG36" s="51"/>
      <c r="OH36" s="51"/>
      <c r="OI36" s="51"/>
      <c r="OJ36" s="51"/>
      <c r="OK36" s="51"/>
      <c r="OL36" s="51"/>
      <c r="OM36" s="51"/>
      <c r="ON36" s="51"/>
      <c r="OO36" s="51"/>
      <c r="OP36" s="51"/>
      <c r="OQ36" s="51"/>
      <c r="OR36" s="51"/>
      <c r="OS36" s="51"/>
      <c r="OT36" s="51"/>
      <c r="OU36" s="51"/>
      <c r="OV36" s="51"/>
      <c r="OW36" s="51"/>
      <c r="OX36" s="51"/>
      <c r="OY36" s="51"/>
      <c r="OZ36" s="51"/>
      <c r="PA36" s="51"/>
      <c r="PB36" s="51"/>
      <c r="PC36" s="51"/>
      <c r="PD36" s="51"/>
      <c r="PE36" s="51"/>
      <c r="PF36" s="51"/>
      <c r="PG36" s="51"/>
      <c r="PH36" s="51"/>
      <c r="PI36" s="51"/>
      <c r="PJ36" s="51"/>
      <c r="PK36" s="51"/>
      <c r="PL36" s="51"/>
      <c r="PM36" s="51"/>
      <c r="PN36" s="51"/>
      <c r="PO36" s="51"/>
      <c r="PP36" s="51"/>
      <c r="PQ36" s="51"/>
      <c r="PR36" s="51"/>
      <c r="PS36" s="51"/>
      <c r="PT36" s="51"/>
      <c r="PU36" s="51"/>
      <c r="PV36" s="51"/>
      <c r="PW36" s="51"/>
      <c r="PX36" s="51"/>
      <c r="PY36" s="51"/>
      <c r="PZ36" s="51"/>
      <c r="QA36" s="51"/>
      <c r="QB36" s="51"/>
      <c r="QC36" s="51"/>
      <c r="QD36" s="51"/>
      <c r="QE36" s="51"/>
      <c r="QF36" s="51"/>
      <c r="QG36" s="51"/>
      <c r="QH36" s="51"/>
      <c r="QI36" s="51"/>
      <c r="QJ36" s="51"/>
      <c r="QK36" s="51"/>
      <c r="QL36" s="51"/>
      <c r="QM36" s="51"/>
      <c r="QN36" s="51"/>
      <c r="QO36" s="51"/>
      <c r="QP36" s="51"/>
      <c r="QQ36" s="51"/>
      <c r="QR36" s="51"/>
      <c r="QS36" s="51"/>
      <c r="QT36" s="51"/>
      <c r="QU36" s="51"/>
      <c r="QV36" s="51"/>
      <c r="QW36" s="51"/>
      <c r="QX36" s="51"/>
      <c r="QY36" s="51"/>
      <c r="QZ36" s="51"/>
      <c r="RA36" s="51"/>
      <c r="RB36" s="51"/>
      <c r="RC36" s="51"/>
      <c r="RD36" s="51"/>
      <c r="RE36" s="51"/>
      <c r="RF36" s="51"/>
      <c r="RG36" s="51"/>
      <c r="RH36" s="51"/>
      <c r="RI36" s="51"/>
      <c r="RJ36" s="51"/>
      <c r="RK36" s="51"/>
      <c r="RL36" s="51"/>
      <c r="RM36" s="51"/>
      <c r="RN36" s="51"/>
      <c r="RO36" s="51"/>
      <c r="RP36" s="51"/>
      <c r="RQ36" s="51"/>
      <c r="RR36" s="51"/>
      <c r="RS36" s="51"/>
      <c r="RT36" s="51"/>
      <c r="RU36" s="51"/>
      <c r="RV36" s="51"/>
      <c r="RW36" s="51"/>
      <c r="RX36" s="51"/>
      <c r="RY36" s="51"/>
      <c r="RZ36" s="51"/>
      <c r="SA36" s="51"/>
      <c r="SB36" s="51"/>
      <c r="SC36" s="51"/>
      <c r="SD36" s="51"/>
      <c r="SE36" s="51"/>
      <c r="SF36" s="51"/>
      <c r="SG36" s="51"/>
      <c r="SH36" s="51"/>
      <c r="SI36" s="51"/>
      <c r="SJ36" s="51"/>
      <c r="SK36" s="51"/>
      <c r="SL36" s="51"/>
      <c r="SM36" s="51"/>
      <c r="SN36" s="51"/>
      <c r="SO36" s="51"/>
      <c r="SP36" s="51"/>
      <c r="SQ36" s="51"/>
      <c r="SR36" s="51"/>
      <c r="SS36" s="51"/>
      <c r="ST36" s="51"/>
      <c r="SU36" s="51"/>
      <c r="SV36" s="51"/>
      <c r="SW36" s="51"/>
      <c r="SX36" s="51"/>
      <c r="SY36" s="51"/>
      <c r="SZ36" s="51"/>
      <c r="TA36" s="51"/>
      <c r="TB36" s="51"/>
      <c r="TC36" s="51"/>
      <c r="TD36" s="51"/>
      <c r="TE36" s="51"/>
      <c r="TF36" s="51"/>
      <c r="TG36" s="51"/>
      <c r="TH36" s="51"/>
      <c r="TI36" s="51"/>
      <c r="TJ36" s="51"/>
      <c r="TK36" s="51"/>
      <c r="TL36" s="51"/>
      <c r="TM36" s="51"/>
      <c r="TN36" s="51"/>
      <c r="TO36" s="51"/>
      <c r="TP36" s="51"/>
      <c r="TQ36" s="51"/>
      <c r="TR36" s="51"/>
      <c r="TS36" s="51"/>
      <c r="TT36" s="51"/>
      <c r="TU36" s="51"/>
      <c r="TV36" s="51"/>
      <c r="TW36" s="51"/>
      <c r="TX36" s="51"/>
      <c r="TY36" s="51"/>
      <c r="TZ36" s="51"/>
      <c r="UA36" s="51"/>
      <c r="UB36" s="51"/>
      <c r="UC36" s="51"/>
      <c r="UD36" s="51"/>
      <c r="UE36" s="51"/>
      <c r="UF36" s="51"/>
      <c r="UG36" s="51"/>
      <c r="UH36" s="51"/>
      <c r="UI36" s="51"/>
      <c r="UJ36" s="51"/>
      <c r="UK36" s="51"/>
      <c r="UL36" s="51"/>
      <c r="UM36" s="51"/>
      <c r="UN36" s="51"/>
      <c r="UO36" s="51"/>
      <c r="UP36" s="51"/>
      <c r="UQ36" s="51"/>
      <c r="UR36" s="51"/>
      <c r="US36" s="51"/>
      <c r="UT36" s="51"/>
      <c r="UU36" s="51"/>
      <c r="UV36" s="51"/>
      <c r="UW36" s="51"/>
      <c r="UX36" s="51"/>
      <c r="UY36" s="51"/>
      <c r="UZ36" s="51"/>
      <c r="VA36" s="51"/>
      <c r="VB36" s="51"/>
      <c r="VC36" s="51"/>
      <c r="VD36" s="51"/>
      <c r="VE36" s="51"/>
      <c r="VF36" s="51"/>
      <c r="VG36" s="51"/>
      <c r="VH36" s="51"/>
      <c r="VI36" s="51"/>
      <c r="VJ36" s="51"/>
      <c r="VK36" s="51"/>
      <c r="VL36" s="51"/>
      <c r="VM36" s="51"/>
      <c r="VN36" s="51"/>
      <c r="VO36" s="51"/>
      <c r="VP36" s="51"/>
      <c r="VQ36" s="51"/>
      <c r="VR36" s="51"/>
      <c r="VS36" s="51"/>
      <c r="VT36" s="51"/>
      <c r="VU36" s="51"/>
      <c r="VV36" s="51"/>
      <c r="VW36" s="51"/>
      <c r="VX36" s="51"/>
      <c r="VY36" s="51"/>
      <c r="VZ36" s="51"/>
      <c r="WA36" s="51"/>
      <c r="WB36" s="51"/>
      <c r="WC36" s="51"/>
      <c r="WD36" s="51"/>
      <c r="WE36" s="51"/>
      <c r="WF36" s="51"/>
      <c r="WG36" s="51"/>
      <c r="WH36" s="51"/>
      <c r="WI36" s="51"/>
      <c r="WJ36" s="51"/>
      <c r="WK36" s="51"/>
      <c r="WL36" s="51"/>
      <c r="WM36" s="51"/>
      <c r="WN36" s="51"/>
      <c r="WO36" s="51"/>
      <c r="WP36" s="51"/>
      <c r="WQ36" s="51"/>
      <c r="WR36" s="51"/>
      <c r="WS36" s="51"/>
      <c r="WT36" s="51"/>
      <c r="WU36" s="51"/>
      <c r="WV36" s="51"/>
      <c r="WW36" s="51"/>
      <c r="WX36" s="51"/>
      <c r="WY36" s="51"/>
      <c r="WZ36" s="51"/>
      <c r="XA36" s="51"/>
      <c r="XB36" s="51"/>
      <c r="XC36" s="51"/>
      <c r="XD36" s="51"/>
      <c r="XE36" s="51"/>
      <c r="XF36" s="51"/>
      <c r="XG36" s="51"/>
      <c r="XH36" s="51"/>
      <c r="XI36" s="51"/>
      <c r="XJ36" s="51"/>
      <c r="XK36" s="51"/>
      <c r="XL36" s="51"/>
      <c r="XM36" s="51"/>
      <c r="XN36" s="51"/>
      <c r="XO36" s="51"/>
      <c r="XP36" s="51"/>
      <c r="XQ36" s="51"/>
      <c r="XR36" s="51"/>
      <c r="XS36" s="51"/>
      <c r="XT36" s="51"/>
      <c r="XU36" s="51"/>
      <c r="XV36" s="51"/>
      <c r="XW36" s="51"/>
      <c r="XX36" s="51"/>
      <c r="XY36" s="51"/>
      <c r="XZ36" s="51"/>
      <c r="YA36" s="51"/>
      <c r="YB36" s="51"/>
      <c r="YC36" s="51"/>
      <c r="YD36" s="51"/>
      <c r="YE36" s="51"/>
      <c r="YF36" s="51"/>
      <c r="YG36" s="51"/>
      <c r="YH36" s="51"/>
      <c r="YI36" s="51"/>
      <c r="YJ36" s="51"/>
      <c r="YK36" s="51"/>
      <c r="YL36" s="51"/>
      <c r="YM36" s="51"/>
      <c r="YN36" s="51"/>
      <c r="YO36" s="51"/>
      <c r="YP36" s="51"/>
      <c r="YQ36" s="51"/>
      <c r="YR36" s="51"/>
      <c r="YS36" s="51"/>
      <c r="YT36" s="51"/>
      <c r="YU36" s="51"/>
      <c r="YV36" s="51"/>
      <c r="YW36" s="51"/>
      <c r="YX36" s="51"/>
      <c r="YY36" s="51"/>
      <c r="YZ36" s="51"/>
      <c r="ZA36" s="51"/>
      <c r="ZB36" s="51"/>
      <c r="ZC36" s="51"/>
      <c r="ZD36" s="51"/>
      <c r="ZE36" s="51"/>
      <c r="ZF36" s="51"/>
      <c r="ZG36" s="51"/>
      <c r="ZH36" s="51"/>
      <c r="ZI36" s="51"/>
      <c r="ZJ36" s="51"/>
      <c r="ZK36" s="51"/>
      <c r="ZL36" s="51"/>
      <c r="ZM36" s="51"/>
      <c r="ZN36" s="51"/>
      <c r="ZO36" s="51"/>
      <c r="ZP36" s="51"/>
      <c r="ZQ36" s="51"/>
      <c r="ZR36" s="51"/>
      <c r="ZS36" s="51"/>
      <c r="ZT36" s="51"/>
      <c r="ZU36" s="51"/>
      <c r="ZV36" s="51"/>
      <c r="ZW36" s="51"/>
      <c r="ZX36" s="51"/>
      <c r="ZY36" s="51"/>
      <c r="ZZ36" s="51"/>
      <c r="AAA36" s="51"/>
      <c r="AAB36" s="51"/>
      <c r="AAC36" s="51"/>
      <c r="AAD36" s="51"/>
      <c r="AAE36" s="51"/>
      <c r="AAF36" s="51"/>
      <c r="AAG36" s="51"/>
      <c r="AAH36" s="51"/>
      <c r="AAI36" s="51"/>
      <c r="AAJ36" s="51"/>
      <c r="AAK36" s="51"/>
      <c r="AAL36" s="51"/>
      <c r="AAM36" s="51"/>
      <c r="AAN36" s="51"/>
      <c r="AAO36" s="51"/>
      <c r="AAP36" s="51"/>
      <c r="AAQ36" s="51"/>
      <c r="AAR36" s="51"/>
      <c r="AAS36" s="51"/>
      <c r="AAT36" s="51"/>
      <c r="AAU36" s="51"/>
      <c r="AAV36" s="51"/>
      <c r="AAW36" s="51"/>
      <c r="AAX36" s="51"/>
      <c r="AAY36" s="51"/>
      <c r="AAZ36" s="51"/>
      <c r="ABA36" s="51"/>
      <c r="ABB36" s="51"/>
      <c r="ABC36" s="51"/>
      <c r="ABD36" s="51"/>
      <c r="ABE36" s="51"/>
      <c r="ABF36" s="51"/>
      <c r="ABG36" s="51"/>
      <c r="ABH36" s="51"/>
      <c r="ABI36" s="51"/>
      <c r="ABJ36" s="51"/>
      <c r="ABK36" s="51"/>
      <c r="ABL36" s="51"/>
      <c r="ABM36" s="51"/>
      <c r="ABN36" s="51"/>
      <c r="ABO36" s="51"/>
      <c r="ABP36" s="51"/>
      <c r="ABQ36" s="51"/>
      <c r="ABR36" s="51"/>
      <c r="ABS36" s="51"/>
      <c r="ABT36" s="51"/>
      <c r="ABU36" s="51"/>
      <c r="ABV36" s="51"/>
      <c r="ABW36" s="51"/>
      <c r="ABX36" s="51"/>
      <c r="ABY36" s="51"/>
      <c r="ABZ36" s="51"/>
      <c r="ACA36" s="51"/>
      <c r="ACB36" s="51"/>
      <c r="ACC36" s="51"/>
      <c r="ACD36" s="51"/>
      <c r="ACE36" s="51"/>
      <c r="ACF36" s="51"/>
      <c r="ACG36" s="51"/>
      <c r="ACH36" s="51"/>
      <c r="ACI36" s="51"/>
      <c r="ACJ36" s="51"/>
      <c r="ACK36" s="51"/>
      <c r="ACL36" s="51"/>
      <c r="ACM36" s="51"/>
      <c r="ACN36" s="51"/>
      <c r="ACO36" s="51"/>
      <c r="ACP36" s="51"/>
      <c r="ACQ36" s="51"/>
      <c r="ACR36" s="51"/>
      <c r="ACS36" s="51"/>
      <c r="ACT36" s="51"/>
      <c r="ACU36" s="51"/>
      <c r="ACV36" s="51"/>
      <c r="ACW36" s="51"/>
      <c r="ACX36" s="51"/>
      <c r="ACY36" s="51"/>
      <c r="ACZ36" s="51"/>
      <c r="ADA36" s="51"/>
      <c r="ADB36" s="51"/>
      <c r="ADC36" s="51"/>
      <c r="ADD36" s="51"/>
      <c r="ADE36" s="51"/>
      <c r="ADF36" s="51"/>
      <c r="ADG36" s="51"/>
      <c r="ADH36" s="51"/>
      <c r="ADI36" s="51"/>
      <c r="ADJ36" s="51"/>
      <c r="ADK36" s="51"/>
      <c r="ADL36" s="51"/>
      <c r="ADM36" s="51"/>
      <c r="ADN36" s="51"/>
      <c r="ADO36" s="51"/>
      <c r="ADP36" s="51"/>
      <c r="ADQ36" s="51"/>
      <c r="ADR36" s="51"/>
      <c r="ADS36" s="51"/>
      <c r="ADT36" s="51"/>
      <c r="ADU36" s="51"/>
      <c r="ADV36" s="51"/>
      <c r="ADW36" s="51"/>
      <c r="ADX36" s="51"/>
      <c r="ADY36" s="51"/>
      <c r="ADZ36" s="51"/>
      <c r="AEA36" s="51"/>
      <c r="AEB36" s="51"/>
      <c r="AEC36" s="51"/>
      <c r="AED36" s="51"/>
      <c r="AEE36" s="51"/>
      <c r="AEF36" s="51"/>
      <c r="AEG36" s="51"/>
      <c r="AEH36" s="51"/>
      <c r="AEI36" s="51"/>
      <c r="AEJ36" s="51"/>
      <c r="AEK36" s="51"/>
      <c r="AEL36" s="51"/>
      <c r="AEM36" s="51"/>
      <c r="AEN36" s="51"/>
      <c r="AEO36" s="51"/>
      <c r="AEP36" s="51"/>
      <c r="AEQ36" s="51"/>
      <c r="AER36" s="51"/>
      <c r="AES36" s="51"/>
      <c r="AET36" s="51"/>
      <c r="AEU36" s="51"/>
      <c r="AEV36" s="51"/>
      <c r="AEW36" s="51"/>
      <c r="AEX36" s="51"/>
      <c r="AEY36" s="51"/>
      <c r="AEZ36" s="51"/>
      <c r="AFA36" s="51"/>
      <c r="AFB36" s="51"/>
      <c r="AFC36" s="51"/>
      <c r="AFD36" s="51"/>
      <c r="AFE36" s="51"/>
      <c r="AFF36" s="51"/>
      <c r="AFG36" s="51"/>
      <c r="AFH36" s="51"/>
      <c r="AFI36" s="51"/>
      <c r="AFJ36" s="51"/>
      <c r="AFK36" s="51"/>
      <c r="AFL36" s="51"/>
      <c r="AFM36" s="51"/>
      <c r="AFN36" s="51"/>
      <c r="AFO36" s="51"/>
      <c r="AFP36" s="51"/>
      <c r="AFQ36" s="51"/>
      <c r="AFR36" s="51"/>
      <c r="AFS36" s="51"/>
      <c r="AFT36" s="51"/>
      <c r="AFU36" s="51"/>
      <c r="AFV36" s="51"/>
      <c r="AFW36" s="51"/>
      <c r="AFX36" s="51"/>
      <c r="AFY36" s="51"/>
      <c r="AFZ36" s="51"/>
      <c r="AGA36" s="51"/>
      <c r="AGB36" s="51"/>
      <c r="AGC36" s="51"/>
      <c r="AGD36" s="51"/>
      <c r="AGE36" s="51"/>
      <c r="AGF36" s="51"/>
      <c r="AGG36" s="51"/>
      <c r="AGH36" s="51"/>
      <c r="AGI36" s="51"/>
      <c r="AGJ36" s="51"/>
      <c r="AGK36" s="51"/>
      <c r="AGL36" s="51"/>
      <c r="AGM36" s="51"/>
      <c r="AGN36" s="51"/>
      <c r="AGO36" s="51"/>
      <c r="AGP36" s="51"/>
      <c r="AGQ36" s="51"/>
      <c r="AGR36" s="51"/>
      <c r="AGS36" s="51"/>
      <c r="AGT36" s="51"/>
      <c r="AGU36" s="51"/>
      <c r="AGV36" s="51"/>
      <c r="AGW36" s="51"/>
      <c r="AGX36" s="51"/>
      <c r="AGY36" s="51"/>
      <c r="AGZ36" s="51"/>
      <c r="AHA36" s="51"/>
      <c r="AHB36" s="51"/>
      <c r="AHC36" s="51"/>
      <c r="AHD36" s="51"/>
      <c r="AHE36" s="51"/>
      <c r="AHF36" s="51"/>
      <c r="AHG36" s="51"/>
      <c r="AHH36" s="51"/>
      <c r="AHI36" s="51"/>
      <c r="AHJ36" s="51"/>
      <c r="AHK36" s="51"/>
      <c r="AHL36" s="51"/>
      <c r="AHM36" s="51"/>
      <c r="AHN36" s="51"/>
      <c r="AHO36" s="51"/>
      <c r="AHP36" s="51"/>
      <c r="AHQ36" s="51"/>
      <c r="AHR36" s="51"/>
      <c r="AHS36" s="51"/>
      <c r="AHT36" s="51"/>
      <c r="AHU36" s="51"/>
      <c r="AHV36" s="51"/>
      <c r="AHW36" s="51"/>
      <c r="AHX36" s="51"/>
      <c r="AHY36" s="51"/>
      <c r="AHZ36" s="51"/>
      <c r="AIA36" s="51"/>
      <c r="AIB36" s="51"/>
      <c r="AIC36" s="51"/>
      <c r="AID36" s="51"/>
      <c r="AIE36" s="51"/>
      <c r="AIF36" s="51"/>
      <c r="AIG36" s="51"/>
      <c r="AIH36" s="51"/>
      <c r="AII36" s="51"/>
      <c r="AIJ36" s="51"/>
      <c r="AIK36" s="51"/>
      <c r="AIL36" s="51"/>
      <c r="AIM36" s="51"/>
      <c r="AIN36" s="51"/>
      <c r="AIO36" s="51"/>
      <c r="AIP36" s="51"/>
      <c r="AIQ36" s="51"/>
      <c r="AIR36" s="51"/>
      <c r="AIS36" s="51"/>
      <c r="AIT36" s="51"/>
      <c r="AIU36" s="51"/>
      <c r="AIV36" s="51"/>
      <c r="AIW36" s="51"/>
      <c r="AIX36" s="51"/>
      <c r="AIY36" s="51"/>
      <c r="AIZ36" s="51"/>
      <c r="AJA36" s="51"/>
      <c r="AJB36" s="51"/>
      <c r="AJC36" s="51"/>
      <c r="AJD36" s="51"/>
      <c r="AJE36" s="51"/>
      <c r="AJF36" s="51"/>
      <c r="AJG36" s="51"/>
      <c r="AJH36" s="51"/>
      <c r="AJI36" s="51"/>
      <c r="AJJ36" s="51"/>
      <c r="AJK36" s="51"/>
      <c r="AJL36" s="51"/>
      <c r="AJM36" s="51"/>
      <c r="AJN36" s="51"/>
      <c r="AJO36" s="51"/>
      <c r="AJP36" s="51"/>
      <c r="AJQ36" s="51"/>
      <c r="AJR36" s="51"/>
      <c r="AJS36" s="51"/>
      <c r="AJT36" s="51"/>
      <c r="AJU36" s="51"/>
      <c r="AJV36" s="51"/>
      <c r="AJW36" s="51"/>
      <c r="AJX36" s="51"/>
      <c r="AJY36" s="51"/>
      <c r="AJZ36" s="51"/>
      <c r="AKA36" s="51"/>
      <c r="AKB36" s="51"/>
      <c r="AKC36" s="51"/>
      <c r="AKD36" s="51"/>
      <c r="AKE36" s="51"/>
      <c r="AKF36" s="51"/>
      <c r="AKG36" s="51"/>
      <c r="AKH36" s="51"/>
      <c r="AKI36" s="51"/>
      <c r="AKJ36" s="51"/>
      <c r="AKK36" s="51"/>
      <c r="AKL36" s="51"/>
      <c r="AKM36" s="51"/>
      <c r="AKN36" s="51"/>
      <c r="AKO36" s="51"/>
      <c r="AKP36" s="51"/>
      <c r="AKQ36" s="51"/>
      <c r="AKR36" s="51"/>
      <c r="AKS36" s="51"/>
      <c r="AKT36" s="51"/>
      <c r="AKU36" s="51"/>
      <c r="AKV36" s="51"/>
      <c r="AKW36" s="51"/>
      <c r="AKX36" s="51"/>
      <c r="AKY36" s="51"/>
      <c r="AKZ36" s="51"/>
      <c r="ALA36" s="51"/>
      <c r="ALB36" s="51"/>
      <c r="ALC36" s="51"/>
      <c r="ALD36" s="51"/>
      <c r="ALE36" s="51"/>
      <c r="ALF36" s="51"/>
      <c r="ALG36" s="51"/>
      <c r="ALH36" s="51"/>
      <c r="ALI36" s="51"/>
      <c r="ALJ36" s="51"/>
      <c r="ALK36" s="51"/>
      <c r="ALL36" s="51"/>
      <c r="ALM36" s="51"/>
      <c r="ALN36" s="51"/>
      <c r="ALO36" s="51"/>
      <c r="ALP36" s="51"/>
      <c r="ALQ36" s="51"/>
      <c r="ALR36" s="51"/>
      <c r="ALS36" s="51"/>
      <c r="ALT36" s="51"/>
      <c r="ALU36" s="51"/>
      <c r="ALV36" s="51"/>
      <c r="ALW36" s="51"/>
      <c r="ALX36" s="51"/>
      <c r="ALY36" s="51"/>
      <c r="ALZ36" s="51"/>
      <c r="AMA36" s="51"/>
      <c r="AMB36" s="51"/>
      <c r="AMC36" s="51"/>
      <c r="AMD36" s="51"/>
      <c r="AME36" s="51"/>
      <c r="AMF36" s="51"/>
      <c r="AMG36" s="51"/>
      <c r="AMH36" s="51"/>
      <c r="AMI36" s="51"/>
      <c r="AMJ36" s="51"/>
      <c r="AMK36" s="51"/>
    </row>
    <row r="37" spans="1:1025" ht="13.5" thickBot="1">
      <c r="A37" s="1236" t="s">
        <v>87</v>
      </c>
      <c r="B37" s="1236"/>
      <c r="C37" s="791"/>
      <c r="D37" s="791"/>
      <c r="E37" s="791"/>
      <c r="F37" s="791"/>
      <c r="G37" s="791"/>
      <c r="H37" s="791"/>
      <c r="I37" s="791"/>
      <c r="J37" s="1237" t="s">
        <v>93</v>
      </c>
      <c r="K37" s="1237"/>
      <c r="L37" s="1237"/>
      <c r="M37" s="1237"/>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c r="GL37" s="51"/>
      <c r="GM37" s="51"/>
      <c r="GN37" s="51"/>
      <c r="GO37" s="51"/>
      <c r="GP37" s="51"/>
      <c r="GQ37" s="51"/>
      <c r="GR37" s="51"/>
      <c r="GS37" s="51"/>
      <c r="GT37" s="51"/>
      <c r="GU37" s="51"/>
      <c r="GV37" s="51"/>
      <c r="GW37" s="51"/>
      <c r="GX37" s="51"/>
      <c r="GY37" s="51"/>
      <c r="GZ37" s="51"/>
      <c r="HA37" s="51"/>
      <c r="HB37" s="51"/>
      <c r="HC37" s="51"/>
      <c r="HD37" s="51"/>
      <c r="HE37" s="51"/>
      <c r="HF37" s="51"/>
      <c r="HG37" s="51"/>
      <c r="HH37" s="51"/>
      <c r="HI37" s="51"/>
      <c r="HJ37" s="51"/>
      <c r="HK37" s="51"/>
      <c r="HL37" s="51"/>
      <c r="HM37" s="51"/>
      <c r="HN37" s="51"/>
      <c r="HO37" s="51"/>
      <c r="HP37" s="51"/>
      <c r="HQ37" s="51"/>
      <c r="HR37" s="51"/>
      <c r="HS37" s="51"/>
      <c r="HT37" s="51"/>
      <c r="HU37" s="51"/>
      <c r="HV37" s="51"/>
      <c r="HW37" s="51"/>
      <c r="HX37" s="51"/>
      <c r="HY37" s="51"/>
      <c r="HZ37" s="51"/>
      <c r="IA37" s="51"/>
      <c r="IB37" s="51"/>
      <c r="IC37" s="51"/>
      <c r="ID37" s="51"/>
      <c r="IE37" s="51"/>
      <c r="IF37" s="51"/>
      <c r="IG37" s="51"/>
      <c r="IH37" s="51"/>
      <c r="II37" s="51"/>
      <c r="IJ37" s="51"/>
      <c r="IK37" s="51"/>
      <c r="IL37" s="51"/>
      <c r="IM37" s="51"/>
      <c r="IN37" s="51"/>
      <c r="IO37" s="51"/>
      <c r="IP37" s="51"/>
      <c r="IQ37" s="51"/>
      <c r="IR37" s="51"/>
      <c r="IS37" s="51"/>
      <c r="IT37" s="51"/>
      <c r="IU37" s="51"/>
      <c r="IV37" s="51"/>
      <c r="IW37" s="51"/>
      <c r="IX37" s="51"/>
      <c r="IY37" s="51"/>
      <c r="IZ37" s="51"/>
      <c r="JA37" s="51"/>
      <c r="JB37" s="51"/>
      <c r="JC37" s="51"/>
      <c r="JD37" s="51"/>
      <c r="JE37" s="51"/>
      <c r="JF37" s="51"/>
      <c r="JG37" s="51"/>
      <c r="JH37" s="51"/>
      <c r="JI37" s="51"/>
      <c r="JJ37" s="51"/>
      <c r="JK37" s="51"/>
      <c r="JL37" s="51"/>
      <c r="JM37" s="51"/>
      <c r="JN37" s="51"/>
      <c r="JO37" s="51"/>
      <c r="JP37" s="51"/>
      <c r="JQ37" s="51"/>
      <c r="JR37" s="51"/>
      <c r="JS37" s="51"/>
      <c r="JT37" s="51"/>
      <c r="JU37" s="51"/>
      <c r="JV37" s="51"/>
      <c r="JW37" s="51"/>
      <c r="JX37" s="51"/>
      <c r="JY37" s="51"/>
      <c r="JZ37" s="51"/>
      <c r="KA37" s="51"/>
      <c r="KB37" s="51"/>
      <c r="KC37" s="51"/>
      <c r="KD37" s="51"/>
      <c r="KE37" s="51"/>
      <c r="KF37" s="51"/>
      <c r="KG37" s="51"/>
      <c r="KH37" s="51"/>
      <c r="KI37" s="51"/>
      <c r="KJ37" s="51"/>
      <c r="KK37" s="51"/>
      <c r="KL37" s="51"/>
      <c r="KM37" s="51"/>
      <c r="KN37" s="51"/>
      <c r="KO37" s="51"/>
      <c r="KP37" s="51"/>
      <c r="KQ37" s="51"/>
      <c r="KR37" s="51"/>
      <c r="KS37" s="51"/>
      <c r="KT37" s="51"/>
      <c r="KU37" s="51"/>
      <c r="KV37" s="51"/>
      <c r="KW37" s="51"/>
      <c r="KX37" s="51"/>
      <c r="KY37" s="51"/>
      <c r="KZ37" s="51"/>
      <c r="LA37" s="51"/>
      <c r="LB37" s="51"/>
      <c r="LC37" s="51"/>
      <c r="LD37" s="51"/>
      <c r="LE37" s="51"/>
      <c r="LF37" s="51"/>
      <c r="LG37" s="51"/>
      <c r="LH37" s="51"/>
      <c r="LI37" s="51"/>
      <c r="LJ37" s="51"/>
      <c r="LK37" s="51"/>
      <c r="LL37" s="51"/>
      <c r="LM37" s="51"/>
      <c r="LN37" s="51"/>
      <c r="LO37" s="51"/>
      <c r="LP37" s="51"/>
      <c r="LQ37" s="51"/>
      <c r="LR37" s="51"/>
      <c r="LS37" s="51"/>
      <c r="LT37" s="51"/>
      <c r="LU37" s="51"/>
      <c r="LV37" s="51"/>
      <c r="LW37" s="51"/>
      <c r="LX37" s="51"/>
      <c r="LY37" s="51"/>
      <c r="LZ37" s="51"/>
      <c r="MA37" s="51"/>
      <c r="MB37" s="51"/>
      <c r="MC37" s="51"/>
      <c r="MD37" s="51"/>
      <c r="ME37" s="51"/>
      <c r="MF37" s="51"/>
      <c r="MG37" s="51"/>
      <c r="MH37" s="51"/>
      <c r="MI37" s="51"/>
      <c r="MJ37" s="51"/>
      <c r="MK37" s="51"/>
      <c r="ML37" s="51"/>
      <c r="MM37" s="51"/>
      <c r="MN37" s="51"/>
      <c r="MO37" s="51"/>
      <c r="MP37" s="51"/>
      <c r="MQ37" s="51"/>
      <c r="MR37" s="51"/>
      <c r="MS37" s="51"/>
      <c r="MT37" s="51"/>
      <c r="MU37" s="51"/>
      <c r="MV37" s="51"/>
      <c r="MW37" s="51"/>
      <c r="MX37" s="51"/>
      <c r="MY37" s="51"/>
      <c r="MZ37" s="51"/>
      <c r="NA37" s="51"/>
      <c r="NB37" s="51"/>
      <c r="NC37" s="51"/>
      <c r="ND37" s="51"/>
      <c r="NE37" s="51"/>
      <c r="NF37" s="51"/>
      <c r="NG37" s="51"/>
      <c r="NH37" s="51"/>
      <c r="NI37" s="51"/>
      <c r="NJ37" s="51"/>
      <c r="NK37" s="51"/>
      <c r="NL37" s="51"/>
      <c r="NM37" s="51"/>
      <c r="NN37" s="51"/>
      <c r="NO37" s="51"/>
      <c r="NP37" s="51"/>
      <c r="NQ37" s="51"/>
      <c r="NR37" s="51"/>
      <c r="NS37" s="51"/>
      <c r="NT37" s="51"/>
      <c r="NU37" s="51"/>
      <c r="NV37" s="51"/>
      <c r="NW37" s="51"/>
      <c r="NX37" s="51"/>
      <c r="NY37" s="51"/>
      <c r="NZ37" s="51"/>
      <c r="OA37" s="51"/>
      <c r="OB37" s="51"/>
      <c r="OC37" s="51"/>
      <c r="OD37" s="51"/>
      <c r="OE37" s="51"/>
      <c r="OF37" s="51"/>
      <c r="OG37" s="51"/>
      <c r="OH37" s="51"/>
      <c r="OI37" s="51"/>
      <c r="OJ37" s="51"/>
      <c r="OK37" s="51"/>
      <c r="OL37" s="51"/>
      <c r="OM37" s="51"/>
      <c r="ON37" s="51"/>
      <c r="OO37" s="51"/>
      <c r="OP37" s="51"/>
      <c r="OQ37" s="51"/>
      <c r="OR37" s="51"/>
      <c r="OS37" s="51"/>
      <c r="OT37" s="51"/>
      <c r="OU37" s="51"/>
      <c r="OV37" s="51"/>
      <c r="OW37" s="51"/>
      <c r="OX37" s="51"/>
      <c r="OY37" s="51"/>
      <c r="OZ37" s="51"/>
      <c r="PA37" s="51"/>
      <c r="PB37" s="51"/>
      <c r="PC37" s="51"/>
      <c r="PD37" s="51"/>
      <c r="PE37" s="51"/>
      <c r="PF37" s="51"/>
      <c r="PG37" s="51"/>
      <c r="PH37" s="51"/>
      <c r="PI37" s="51"/>
      <c r="PJ37" s="51"/>
      <c r="PK37" s="51"/>
      <c r="PL37" s="51"/>
      <c r="PM37" s="51"/>
      <c r="PN37" s="51"/>
      <c r="PO37" s="51"/>
      <c r="PP37" s="51"/>
      <c r="PQ37" s="51"/>
      <c r="PR37" s="51"/>
      <c r="PS37" s="51"/>
      <c r="PT37" s="51"/>
      <c r="PU37" s="51"/>
      <c r="PV37" s="51"/>
      <c r="PW37" s="51"/>
      <c r="PX37" s="51"/>
      <c r="PY37" s="51"/>
      <c r="PZ37" s="51"/>
      <c r="QA37" s="51"/>
      <c r="QB37" s="51"/>
      <c r="QC37" s="51"/>
      <c r="QD37" s="51"/>
      <c r="QE37" s="51"/>
      <c r="QF37" s="51"/>
      <c r="QG37" s="51"/>
      <c r="QH37" s="51"/>
      <c r="QI37" s="51"/>
      <c r="QJ37" s="51"/>
      <c r="QK37" s="51"/>
      <c r="QL37" s="51"/>
      <c r="QM37" s="51"/>
      <c r="QN37" s="51"/>
      <c r="QO37" s="51"/>
      <c r="QP37" s="51"/>
      <c r="QQ37" s="51"/>
      <c r="QR37" s="51"/>
      <c r="QS37" s="51"/>
      <c r="QT37" s="51"/>
      <c r="QU37" s="51"/>
      <c r="QV37" s="51"/>
      <c r="QW37" s="51"/>
      <c r="QX37" s="51"/>
      <c r="QY37" s="51"/>
      <c r="QZ37" s="51"/>
      <c r="RA37" s="51"/>
      <c r="RB37" s="51"/>
      <c r="RC37" s="51"/>
      <c r="RD37" s="51"/>
      <c r="RE37" s="51"/>
      <c r="RF37" s="51"/>
      <c r="RG37" s="51"/>
      <c r="RH37" s="51"/>
      <c r="RI37" s="51"/>
      <c r="RJ37" s="51"/>
      <c r="RK37" s="51"/>
      <c r="RL37" s="51"/>
      <c r="RM37" s="51"/>
      <c r="RN37" s="51"/>
      <c r="RO37" s="51"/>
      <c r="RP37" s="51"/>
      <c r="RQ37" s="51"/>
      <c r="RR37" s="51"/>
      <c r="RS37" s="51"/>
      <c r="RT37" s="51"/>
      <c r="RU37" s="51"/>
      <c r="RV37" s="51"/>
      <c r="RW37" s="51"/>
      <c r="RX37" s="51"/>
      <c r="RY37" s="51"/>
      <c r="RZ37" s="51"/>
      <c r="SA37" s="51"/>
      <c r="SB37" s="51"/>
      <c r="SC37" s="51"/>
      <c r="SD37" s="51"/>
      <c r="SE37" s="51"/>
      <c r="SF37" s="51"/>
      <c r="SG37" s="51"/>
      <c r="SH37" s="51"/>
      <c r="SI37" s="51"/>
      <c r="SJ37" s="51"/>
      <c r="SK37" s="51"/>
      <c r="SL37" s="51"/>
      <c r="SM37" s="51"/>
      <c r="SN37" s="51"/>
      <c r="SO37" s="51"/>
      <c r="SP37" s="51"/>
      <c r="SQ37" s="51"/>
      <c r="SR37" s="51"/>
      <c r="SS37" s="51"/>
      <c r="ST37" s="51"/>
      <c r="SU37" s="51"/>
      <c r="SV37" s="51"/>
      <c r="SW37" s="51"/>
      <c r="SX37" s="51"/>
      <c r="SY37" s="51"/>
      <c r="SZ37" s="51"/>
      <c r="TA37" s="51"/>
      <c r="TB37" s="51"/>
      <c r="TC37" s="51"/>
      <c r="TD37" s="51"/>
      <c r="TE37" s="51"/>
      <c r="TF37" s="51"/>
      <c r="TG37" s="51"/>
      <c r="TH37" s="51"/>
      <c r="TI37" s="51"/>
      <c r="TJ37" s="51"/>
      <c r="TK37" s="51"/>
      <c r="TL37" s="51"/>
      <c r="TM37" s="51"/>
      <c r="TN37" s="51"/>
      <c r="TO37" s="51"/>
      <c r="TP37" s="51"/>
      <c r="TQ37" s="51"/>
      <c r="TR37" s="51"/>
      <c r="TS37" s="51"/>
      <c r="TT37" s="51"/>
      <c r="TU37" s="51"/>
      <c r="TV37" s="51"/>
      <c r="TW37" s="51"/>
      <c r="TX37" s="51"/>
      <c r="TY37" s="51"/>
      <c r="TZ37" s="51"/>
      <c r="UA37" s="51"/>
      <c r="UB37" s="51"/>
      <c r="UC37" s="51"/>
      <c r="UD37" s="51"/>
      <c r="UE37" s="51"/>
      <c r="UF37" s="51"/>
      <c r="UG37" s="51"/>
      <c r="UH37" s="51"/>
      <c r="UI37" s="51"/>
      <c r="UJ37" s="51"/>
      <c r="UK37" s="51"/>
      <c r="UL37" s="51"/>
      <c r="UM37" s="51"/>
      <c r="UN37" s="51"/>
      <c r="UO37" s="51"/>
      <c r="UP37" s="51"/>
      <c r="UQ37" s="51"/>
      <c r="UR37" s="51"/>
      <c r="US37" s="51"/>
      <c r="UT37" s="51"/>
      <c r="UU37" s="51"/>
      <c r="UV37" s="51"/>
      <c r="UW37" s="51"/>
      <c r="UX37" s="51"/>
      <c r="UY37" s="51"/>
      <c r="UZ37" s="51"/>
      <c r="VA37" s="51"/>
      <c r="VB37" s="51"/>
      <c r="VC37" s="51"/>
      <c r="VD37" s="51"/>
      <c r="VE37" s="51"/>
      <c r="VF37" s="51"/>
      <c r="VG37" s="51"/>
      <c r="VH37" s="51"/>
      <c r="VI37" s="51"/>
      <c r="VJ37" s="51"/>
      <c r="VK37" s="51"/>
      <c r="VL37" s="51"/>
      <c r="VM37" s="51"/>
      <c r="VN37" s="51"/>
      <c r="VO37" s="51"/>
      <c r="VP37" s="51"/>
      <c r="VQ37" s="51"/>
      <c r="VR37" s="51"/>
      <c r="VS37" s="51"/>
      <c r="VT37" s="51"/>
      <c r="VU37" s="51"/>
      <c r="VV37" s="51"/>
      <c r="VW37" s="51"/>
      <c r="VX37" s="51"/>
      <c r="VY37" s="51"/>
      <c r="VZ37" s="51"/>
      <c r="WA37" s="51"/>
      <c r="WB37" s="51"/>
      <c r="WC37" s="51"/>
      <c r="WD37" s="51"/>
      <c r="WE37" s="51"/>
      <c r="WF37" s="51"/>
      <c r="WG37" s="51"/>
      <c r="WH37" s="51"/>
      <c r="WI37" s="51"/>
      <c r="WJ37" s="51"/>
      <c r="WK37" s="51"/>
      <c r="WL37" s="51"/>
      <c r="WM37" s="51"/>
      <c r="WN37" s="51"/>
      <c r="WO37" s="51"/>
      <c r="WP37" s="51"/>
      <c r="WQ37" s="51"/>
      <c r="WR37" s="51"/>
      <c r="WS37" s="51"/>
      <c r="WT37" s="51"/>
      <c r="WU37" s="51"/>
      <c r="WV37" s="51"/>
      <c r="WW37" s="51"/>
      <c r="WX37" s="51"/>
      <c r="WY37" s="51"/>
      <c r="WZ37" s="51"/>
      <c r="XA37" s="51"/>
      <c r="XB37" s="51"/>
      <c r="XC37" s="51"/>
      <c r="XD37" s="51"/>
      <c r="XE37" s="51"/>
      <c r="XF37" s="51"/>
      <c r="XG37" s="51"/>
      <c r="XH37" s="51"/>
      <c r="XI37" s="51"/>
      <c r="XJ37" s="51"/>
      <c r="XK37" s="51"/>
      <c r="XL37" s="51"/>
      <c r="XM37" s="51"/>
      <c r="XN37" s="51"/>
      <c r="XO37" s="51"/>
      <c r="XP37" s="51"/>
      <c r="XQ37" s="51"/>
      <c r="XR37" s="51"/>
      <c r="XS37" s="51"/>
      <c r="XT37" s="51"/>
      <c r="XU37" s="51"/>
      <c r="XV37" s="51"/>
      <c r="XW37" s="51"/>
      <c r="XX37" s="51"/>
      <c r="XY37" s="51"/>
      <c r="XZ37" s="51"/>
      <c r="YA37" s="51"/>
      <c r="YB37" s="51"/>
      <c r="YC37" s="51"/>
      <c r="YD37" s="51"/>
      <c r="YE37" s="51"/>
      <c r="YF37" s="51"/>
      <c r="YG37" s="51"/>
      <c r="YH37" s="51"/>
      <c r="YI37" s="51"/>
      <c r="YJ37" s="51"/>
      <c r="YK37" s="51"/>
      <c r="YL37" s="51"/>
      <c r="YM37" s="51"/>
      <c r="YN37" s="51"/>
      <c r="YO37" s="51"/>
      <c r="YP37" s="51"/>
      <c r="YQ37" s="51"/>
      <c r="YR37" s="51"/>
      <c r="YS37" s="51"/>
      <c r="YT37" s="51"/>
      <c r="YU37" s="51"/>
      <c r="YV37" s="51"/>
      <c r="YW37" s="51"/>
      <c r="YX37" s="51"/>
      <c r="YY37" s="51"/>
      <c r="YZ37" s="51"/>
      <c r="ZA37" s="51"/>
      <c r="ZB37" s="51"/>
      <c r="ZC37" s="51"/>
      <c r="ZD37" s="51"/>
      <c r="ZE37" s="51"/>
      <c r="ZF37" s="51"/>
      <c r="ZG37" s="51"/>
      <c r="ZH37" s="51"/>
      <c r="ZI37" s="51"/>
      <c r="ZJ37" s="51"/>
      <c r="ZK37" s="51"/>
      <c r="ZL37" s="51"/>
      <c r="ZM37" s="51"/>
      <c r="ZN37" s="51"/>
      <c r="ZO37" s="51"/>
      <c r="ZP37" s="51"/>
      <c r="ZQ37" s="51"/>
      <c r="ZR37" s="51"/>
      <c r="ZS37" s="51"/>
      <c r="ZT37" s="51"/>
      <c r="ZU37" s="51"/>
      <c r="ZV37" s="51"/>
      <c r="ZW37" s="51"/>
      <c r="ZX37" s="51"/>
      <c r="ZY37" s="51"/>
      <c r="ZZ37" s="51"/>
      <c r="AAA37" s="51"/>
      <c r="AAB37" s="51"/>
      <c r="AAC37" s="51"/>
      <c r="AAD37" s="51"/>
      <c r="AAE37" s="51"/>
      <c r="AAF37" s="51"/>
      <c r="AAG37" s="51"/>
      <c r="AAH37" s="51"/>
      <c r="AAI37" s="51"/>
      <c r="AAJ37" s="51"/>
      <c r="AAK37" s="51"/>
      <c r="AAL37" s="51"/>
      <c r="AAM37" s="51"/>
      <c r="AAN37" s="51"/>
      <c r="AAO37" s="51"/>
      <c r="AAP37" s="51"/>
      <c r="AAQ37" s="51"/>
      <c r="AAR37" s="51"/>
      <c r="AAS37" s="51"/>
      <c r="AAT37" s="51"/>
      <c r="AAU37" s="51"/>
      <c r="AAV37" s="51"/>
      <c r="AAW37" s="51"/>
      <c r="AAX37" s="51"/>
      <c r="AAY37" s="51"/>
      <c r="AAZ37" s="51"/>
      <c r="ABA37" s="51"/>
      <c r="ABB37" s="51"/>
      <c r="ABC37" s="51"/>
      <c r="ABD37" s="51"/>
      <c r="ABE37" s="51"/>
      <c r="ABF37" s="51"/>
      <c r="ABG37" s="51"/>
      <c r="ABH37" s="51"/>
      <c r="ABI37" s="51"/>
      <c r="ABJ37" s="51"/>
      <c r="ABK37" s="51"/>
      <c r="ABL37" s="51"/>
      <c r="ABM37" s="51"/>
      <c r="ABN37" s="51"/>
      <c r="ABO37" s="51"/>
      <c r="ABP37" s="51"/>
      <c r="ABQ37" s="51"/>
      <c r="ABR37" s="51"/>
      <c r="ABS37" s="51"/>
      <c r="ABT37" s="51"/>
      <c r="ABU37" s="51"/>
      <c r="ABV37" s="51"/>
      <c r="ABW37" s="51"/>
      <c r="ABX37" s="51"/>
      <c r="ABY37" s="51"/>
      <c r="ABZ37" s="51"/>
      <c r="ACA37" s="51"/>
      <c r="ACB37" s="51"/>
      <c r="ACC37" s="51"/>
      <c r="ACD37" s="51"/>
      <c r="ACE37" s="51"/>
      <c r="ACF37" s="51"/>
      <c r="ACG37" s="51"/>
      <c r="ACH37" s="51"/>
      <c r="ACI37" s="51"/>
      <c r="ACJ37" s="51"/>
      <c r="ACK37" s="51"/>
      <c r="ACL37" s="51"/>
      <c r="ACM37" s="51"/>
      <c r="ACN37" s="51"/>
      <c r="ACO37" s="51"/>
      <c r="ACP37" s="51"/>
      <c r="ACQ37" s="51"/>
      <c r="ACR37" s="51"/>
      <c r="ACS37" s="51"/>
      <c r="ACT37" s="51"/>
      <c r="ACU37" s="51"/>
      <c r="ACV37" s="51"/>
      <c r="ACW37" s="51"/>
      <c r="ACX37" s="51"/>
      <c r="ACY37" s="51"/>
      <c r="ACZ37" s="51"/>
      <c r="ADA37" s="51"/>
      <c r="ADB37" s="51"/>
      <c r="ADC37" s="51"/>
      <c r="ADD37" s="51"/>
      <c r="ADE37" s="51"/>
      <c r="ADF37" s="51"/>
      <c r="ADG37" s="51"/>
      <c r="ADH37" s="51"/>
      <c r="ADI37" s="51"/>
      <c r="ADJ37" s="51"/>
      <c r="ADK37" s="51"/>
      <c r="ADL37" s="51"/>
      <c r="ADM37" s="51"/>
      <c r="ADN37" s="51"/>
      <c r="ADO37" s="51"/>
      <c r="ADP37" s="51"/>
      <c r="ADQ37" s="51"/>
      <c r="ADR37" s="51"/>
      <c r="ADS37" s="51"/>
      <c r="ADT37" s="51"/>
      <c r="ADU37" s="51"/>
      <c r="ADV37" s="51"/>
      <c r="ADW37" s="51"/>
      <c r="ADX37" s="51"/>
      <c r="ADY37" s="51"/>
      <c r="ADZ37" s="51"/>
      <c r="AEA37" s="51"/>
      <c r="AEB37" s="51"/>
      <c r="AEC37" s="51"/>
      <c r="AED37" s="51"/>
      <c r="AEE37" s="51"/>
      <c r="AEF37" s="51"/>
      <c r="AEG37" s="51"/>
      <c r="AEH37" s="51"/>
      <c r="AEI37" s="51"/>
      <c r="AEJ37" s="51"/>
      <c r="AEK37" s="51"/>
      <c r="AEL37" s="51"/>
      <c r="AEM37" s="51"/>
      <c r="AEN37" s="51"/>
      <c r="AEO37" s="51"/>
      <c r="AEP37" s="51"/>
      <c r="AEQ37" s="51"/>
      <c r="AER37" s="51"/>
      <c r="AES37" s="51"/>
      <c r="AET37" s="51"/>
      <c r="AEU37" s="51"/>
      <c r="AEV37" s="51"/>
      <c r="AEW37" s="51"/>
      <c r="AEX37" s="51"/>
      <c r="AEY37" s="51"/>
      <c r="AEZ37" s="51"/>
      <c r="AFA37" s="51"/>
      <c r="AFB37" s="51"/>
      <c r="AFC37" s="51"/>
      <c r="AFD37" s="51"/>
      <c r="AFE37" s="51"/>
      <c r="AFF37" s="51"/>
      <c r="AFG37" s="51"/>
      <c r="AFH37" s="51"/>
      <c r="AFI37" s="51"/>
      <c r="AFJ37" s="51"/>
      <c r="AFK37" s="51"/>
      <c r="AFL37" s="51"/>
      <c r="AFM37" s="51"/>
      <c r="AFN37" s="51"/>
      <c r="AFO37" s="51"/>
      <c r="AFP37" s="51"/>
      <c r="AFQ37" s="51"/>
      <c r="AFR37" s="51"/>
      <c r="AFS37" s="51"/>
      <c r="AFT37" s="51"/>
      <c r="AFU37" s="51"/>
      <c r="AFV37" s="51"/>
      <c r="AFW37" s="51"/>
      <c r="AFX37" s="51"/>
      <c r="AFY37" s="51"/>
      <c r="AFZ37" s="51"/>
      <c r="AGA37" s="51"/>
      <c r="AGB37" s="51"/>
      <c r="AGC37" s="51"/>
      <c r="AGD37" s="51"/>
      <c r="AGE37" s="51"/>
      <c r="AGF37" s="51"/>
      <c r="AGG37" s="51"/>
      <c r="AGH37" s="51"/>
      <c r="AGI37" s="51"/>
      <c r="AGJ37" s="51"/>
      <c r="AGK37" s="51"/>
      <c r="AGL37" s="51"/>
      <c r="AGM37" s="51"/>
      <c r="AGN37" s="51"/>
      <c r="AGO37" s="51"/>
      <c r="AGP37" s="51"/>
      <c r="AGQ37" s="51"/>
      <c r="AGR37" s="51"/>
      <c r="AGS37" s="51"/>
      <c r="AGT37" s="51"/>
      <c r="AGU37" s="51"/>
      <c r="AGV37" s="51"/>
      <c r="AGW37" s="51"/>
      <c r="AGX37" s="51"/>
      <c r="AGY37" s="51"/>
      <c r="AGZ37" s="51"/>
      <c r="AHA37" s="51"/>
      <c r="AHB37" s="51"/>
      <c r="AHC37" s="51"/>
      <c r="AHD37" s="51"/>
      <c r="AHE37" s="51"/>
      <c r="AHF37" s="51"/>
      <c r="AHG37" s="51"/>
      <c r="AHH37" s="51"/>
      <c r="AHI37" s="51"/>
      <c r="AHJ37" s="51"/>
      <c r="AHK37" s="51"/>
      <c r="AHL37" s="51"/>
      <c r="AHM37" s="51"/>
      <c r="AHN37" s="51"/>
      <c r="AHO37" s="51"/>
      <c r="AHP37" s="51"/>
      <c r="AHQ37" s="51"/>
      <c r="AHR37" s="51"/>
      <c r="AHS37" s="51"/>
      <c r="AHT37" s="51"/>
      <c r="AHU37" s="51"/>
      <c r="AHV37" s="51"/>
      <c r="AHW37" s="51"/>
      <c r="AHX37" s="51"/>
      <c r="AHY37" s="51"/>
      <c r="AHZ37" s="51"/>
      <c r="AIA37" s="51"/>
      <c r="AIB37" s="51"/>
      <c r="AIC37" s="51"/>
      <c r="AID37" s="51"/>
      <c r="AIE37" s="51"/>
      <c r="AIF37" s="51"/>
      <c r="AIG37" s="51"/>
      <c r="AIH37" s="51"/>
      <c r="AII37" s="51"/>
      <c r="AIJ37" s="51"/>
      <c r="AIK37" s="51"/>
      <c r="AIL37" s="51"/>
      <c r="AIM37" s="51"/>
      <c r="AIN37" s="51"/>
      <c r="AIO37" s="51"/>
      <c r="AIP37" s="51"/>
      <c r="AIQ37" s="51"/>
      <c r="AIR37" s="51"/>
      <c r="AIS37" s="51"/>
      <c r="AIT37" s="51"/>
      <c r="AIU37" s="51"/>
      <c r="AIV37" s="51"/>
      <c r="AIW37" s="51"/>
      <c r="AIX37" s="51"/>
      <c r="AIY37" s="51"/>
      <c r="AIZ37" s="51"/>
      <c r="AJA37" s="51"/>
      <c r="AJB37" s="51"/>
      <c r="AJC37" s="51"/>
      <c r="AJD37" s="51"/>
      <c r="AJE37" s="51"/>
      <c r="AJF37" s="51"/>
      <c r="AJG37" s="51"/>
      <c r="AJH37" s="51"/>
      <c r="AJI37" s="51"/>
      <c r="AJJ37" s="51"/>
      <c r="AJK37" s="51"/>
      <c r="AJL37" s="51"/>
      <c r="AJM37" s="51"/>
      <c r="AJN37" s="51"/>
      <c r="AJO37" s="51"/>
      <c r="AJP37" s="51"/>
      <c r="AJQ37" s="51"/>
      <c r="AJR37" s="51"/>
      <c r="AJS37" s="51"/>
      <c r="AJT37" s="51"/>
      <c r="AJU37" s="51"/>
      <c r="AJV37" s="51"/>
      <c r="AJW37" s="51"/>
      <c r="AJX37" s="51"/>
      <c r="AJY37" s="51"/>
      <c r="AJZ37" s="51"/>
      <c r="AKA37" s="51"/>
      <c r="AKB37" s="51"/>
      <c r="AKC37" s="51"/>
      <c r="AKD37" s="51"/>
      <c r="AKE37" s="51"/>
      <c r="AKF37" s="51"/>
      <c r="AKG37" s="51"/>
      <c r="AKH37" s="51"/>
      <c r="AKI37" s="51"/>
      <c r="AKJ37" s="51"/>
      <c r="AKK37" s="51"/>
      <c r="AKL37" s="51"/>
      <c r="AKM37" s="51"/>
      <c r="AKN37" s="51"/>
      <c r="AKO37" s="51"/>
      <c r="AKP37" s="51"/>
      <c r="AKQ37" s="51"/>
      <c r="AKR37" s="51"/>
      <c r="AKS37" s="51"/>
      <c r="AKT37" s="51"/>
      <c r="AKU37" s="51"/>
      <c r="AKV37" s="51"/>
      <c r="AKW37" s="51"/>
      <c r="AKX37" s="51"/>
      <c r="AKY37" s="51"/>
      <c r="AKZ37" s="51"/>
      <c r="ALA37" s="51"/>
      <c r="ALB37" s="51"/>
      <c r="ALC37" s="51"/>
      <c r="ALD37" s="51"/>
      <c r="ALE37" s="51"/>
      <c r="ALF37" s="51"/>
      <c r="ALG37" s="51"/>
      <c r="ALH37" s="51"/>
      <c r="ALI37" s="51"/>
      <c r="ALJ37" s="51"/>
      <c r="ALK37" s="51"/>
      <c r="ALL37" s="51"/>
      <c r="ALM37" s="51"/>
      <c r="ALN37" s="51"/>
      <c r="ALO37" s="51"/>
      <c r="ALP37" s="51"/>
      <c r="ALQ37" s="51"/>
      <c r="ALR37" s="51"/>
      <c r="ALS37" s="51"/>
      <c r="ALT37" s="51"/>
      <c r="ALU37" s="51"/>
      <c r="ALV37" s="51"/>
      <c r="ALW37" s="51"/>
      <c r="ALX37" s="51"/>
      <c r="ALY37" s="51"/>
      <c r="ALZ37" s="51"/>
      <c r="AMA37" s="51"/>
      <c r="AMB37" s="51"/>
      <c r="AMC37" s="51"/>
      <c r="AMD37" s="51"/>
      <c r="AME37" s="51"/>
      <c r="AMF37" s="51"/>
      <c r="AMG37" s="51"/>
      <c r="AMH37" s="51"/>
      <c r="AMI37" s="51"/>
      <c r="AMJ37" s="51"/>
      <c r="AMK37" s="51"/>
    </row>
    <row r="38" spans="1:1025" ht="4.5" customHeight="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c r="GL38" s="51"/>
      <c r="GM38" s="51"/>
      <c r="GN38" s="51"/>
      <c r="GO38" s="51"/>
      <c r="GP38" s="51"/>
      <c r="GQ38" s="51"/>
      <c r="GR38" s="51"/>
      <c r="GS38" s="51"/>
      <c r="GT38" s="51"/>
      <c r="GU38" s="51"/>
      <c r="GV38" s="51"/>
      <c r="GW38" s="51"/>
      <c r="GX38" s="51"/>
      <c r="GY38" s="51"/>
      <c r="GZ38" s="51"/>
      <c r="HA38" s="51"/>
      <c r="HB38" s="51"/>
      <c r="HC38" s="51"/>
      <c r="HD38" s="51"/>
      <c r="HE38" s="51"/>
      <c r="HF38" s="51"/>
      <c r="HG38" s="51"/>
      <c r="HH38" s="51"/>
      <c r="HI38" s="51"/>
      <c r="HJ38" s="51"/>
      <c r="HK38" s="51"/>
      <c r="HL38" s="51"/>
      <c r="HM38" s="51"/>
      <c r="HN38" s="51"/>
      <c r="HO38" s="51"/>
      <c r="HP38" s="51"/>
      <c r="HQ38" s="51"/>
      <c r="HR38" s="51"/>
      <c r="HS38" s="51"/>
      <c r="HT38" s="51"/>
      <c r="HU38" s="51"/>
      <c r="HV38" s="51"/>
      <c r="HW38" s="51"/>
      <c r="HX38" s="51"/>
      <c r="HY38" s="51"/>
      <c r="HZ38" s="51"/>
      <c r="IA38" s="51"/>
      <c r="IB38" s="51"/>
      <c r="IC38" s="51"/>
      <c r="ID38" s="51"/>
      <c r="IE38" s="51"/>
      <c r="IF38" s="51"/>
      <c r="IG38" s="51"/>
      <c r="IH38" s="51"/>
      <c r="II38" s="51"/>
      <c r="IJ38" s="51"/>
      <c r="IK38" s="51"/>
      <c r="IL38" s="51"/>
      <c r="IM38" s="51"/>
      <c r="IN38" s="51"/>
      <c r="IO38" s="51"/>
      <c r="IP38" s="51"/>
      <c r="IQ38" s="51"/>
      <c r="IR38" s="51"/>
      <c r="IS38" s="51"/>
      <c r="IT38" s="51"/>
      <c r="IU38" s="51"/>
      <c r="IV38" s="51"/>
      <c r="IW38" s="51"/>
      <c r="IX38" s="51"/>
      <c r="IY38" s="51"/>
      <c r="IZ38" s="51"/>
      <c r="JA38" s="51"/>
      <c r="JB38" s="51"/>
      <c r="JC38" s="51"/>
      <c r="JD38" s="51"/>
      <c r="JE38" s="51"/>
      <c r="JF38" s="51"/>
      <c r="JG38" s="51"/>
      <c r="JH38" s="51"/>
      <c r="JI38" s="51"/>
      <c r="JJ38" s="51"/>
      <c r="JK38" s="51"/>
      <c r="JL38" s="51"/>
      <c r="JM38" s="51"/>
      <c r="JN38" s="51"/>
      <c r="JO38" s="51"/>
      <c r="JP38" s="51"/>
      <c r="JQ38" s="51"/>
      <c r="JR38" s="51"/>
      <c r="JS38" s="51"/>
      <c r="JT38" s="51"/>
      <c r="JU38" s="51"/>
      <c r="JV38" s="51"/>
      <c r="JW38" s="51"/>
      <c r="JX38" s="51"/>
      <c r="JY38" s="51"/>
      <c r="JZ38" s="51"/>
      <c r="KA38" s="51"/>
      <c r="KB38" s="51"/>
      <c r="KC38" s="51"/>
      <c r="KD38" s="51"/>
      <c r="KE38" s="51"/>
      <c r="KF38" s="51"/>
      <c r="KG38" s="51"/>
      <c r="KH38" s="51"/>
      <c r="KI38" s="51"/>
      <c r="KJ38" s="51"/>
      <c r="KK38" s="51"/>
      <c r="KL38" s="51"/>
      <c r="KM38" s="51"/>
      <c r="KN38" s="51"/>
      <c r="KO38" s="51"/>
      <c r="KP38" s="51"/>
      <c r="KQ38" s="51"/>
      <c r="KR38" s="51"/>
      <c r="KS38" s="51"/>
      <c r="KT38" s="51"/>
      <c r="KU38" s="51"/>
      <c r="KV38" s="51"/>
      <c r="KW38" s="51"/>
      <c r="KX38" s="51"/>
      <c r="KY38" s="51"/>
      <c r="KZ38" s="51"/>
      <c r="LA38" s="51"/>
      <c r="LB38" s="51"/>
      <c r="LC38" s="51"/>
      <c r="LD38" s="51"/>
      <c r="LE38" s="51"/>
      <c r="LF38" s="51"/>
      <c r="LG38" s="51"/>
      <c r="LH38" s="51"/>
      <c r="LI38" s="51"/>
      <c r="LJ38" s="51"/>
      <c r="LK38" s="51"/>
      <c r="LL38" s="51"/>
      <c r="LM38" s="51"/>
      <c r="LN38" s="51"/>
      <c r="LO38" s="51"/>
      <c r="LP38" s="51"/>
      <c r="LQ38" s="51"/>
      <c r="LR38" s="51"/>
      <c r="LS38" s="51"/>
      <c r="LT38" s="51"/>
      <c r="LU38" s="51"/>
      <c r="LV38" s="51"/>
      <c r="LW38" s="51"/>
      <c r="LX38" s="51"/>
      <c r="LY38" s="51"/>
      <c r="LZ38" s="51"/>
      <c r="MA38" s="51"/>
      <c r="MB38" s="51"/>
      <c r="MC38" s="51"/>
      <c r="MD38" s="51"/>
      <c r="ME38" s="51"/>
      <c r="MF38" s="51"/>
      <c r="MG38" s="51"/>
      <c r="MH38" s="51"/>
      <c r="MI38" s="51"/>
      <c r="MJ38" s="51"/>
      <c r="MK38" s="51"/>
      <c r="ML38" s="51"/>
      <c r="MM38" s="51"/>
      <c r="MN38" s="51"/>
      <c r="MO38" s="51"/>
      <c r="MP38" s="51"/>
      <c r="MQ38" s="51"/>
      <c r="MR38" s="51"/>
      <c r="MS38" s="51"/>
      <c r="MT38" s="51"/>
      <c r="MU38" s="51"/>
      <c r="MV38" s="51"/>
      <c r="MW38" s="51"/>
      <c r="MX38" s="51"/>
      <c r="MY38" s="51"/>
      <c r="MZ38" s="51"/>
      <c r="NA38" s="51"/>
      <c r="NB38" s="51"/>
      <c r="NC38" s="51"/>
      <c r="ND38" s="51"/>
      <c r="NE38" s="51"/>
      <c r="NF38" s="51"/>
      <c r="NG38" s="51"/>
      <c r="NH38" s="51"/>
      <c r="NI38" s="51"/>
      <c r="NJ38" s="51"/>
      <c r="NK38" s="51"/>
      <c r="NL38" s="51"/>
      <c r="NM38" s="51"/>
      <c r="NN38" s="51"/>
      <c r="NO38" s="51"/>
      <c r="NP38" s="51"/>
      <c r="NQ38" s="51"/>
      <c r="NR38" s="51"/>
      <c r="NS38" s="51"/>
      <c r="NT38" s="51"/>
      <c r="NU38" s="51"/>
      <c r="NV38" s="51"/>
      <c r="NW38" s="51"/>
      <c r="NX38" s="51"/>
      <c r="NY38" s="51"/>
      <c r="NZ38" s="51"/>
      <c r="OA38" s="51"/>
      <c r="OB38" s="51"/>
      <c r="OC38" s="51"/>
      <c r="OD38" s="51"/>
      <c r="OE38" s="51"/>
      <c r="OF38" s="51"/>
      <c r="OG38" s="51"/>
      <c r="OH38" s="51"/>
      <c r="OI38" s="51"/>
      <c r="OJ38" s="51"/>
      <c r="OK38" s="51"/>
      <c r="OL38" s="51"/>
      <c r="OM38" s="51"/>
      <c r="ON38" s="51"/>
      <c r="OO38" s="51"/>
      <c r="OP38" s="51"/>
      <c r="OQ38" s="51"/>
      <c r="OR38" s="51"/>
      <c r="OS38" s="51"/>
      <c r="OT38" s="51"/>
      <c r="OU38" s="51"/>
      <c r="OV38" s="51"/>
      <c r="OW38" s="51"/>
      <c r="OX38" s="51"/>
      <c r="OY38" s="51"/>
      <c r="OZ38" s="51"/>
      <c r="PA38" s="51"/>
      <c r="PB38" s="51"/>
      <c r="PC38" s="51"/>
      <c r="PD38" s="51"/>
      <c r="PE38" s="51"/>
      <c r="PF38" s="51"/>
      <c r="PG38" s="51"/>
      <c r="PH38" s="51"/>
      <c r="PI38" s="51"/>
      <c r="PJ38" s="51"/>
      <c r="PK38" s="51"/>
      <c r="PL38" s="51"/>
      <c r="PM38" s="51"/>
      <c r="PN38" s="51"/>
      <c r="PO38" s="51"/>
      <c r="PP38" s="51"/>
      <c r="PQ38" s="51"/>
      <c r="PR38" s="51"/>
      <c r="PS38" s="51"/>
      <c r="PT38" s="51"/>
      <c r="PU38" s="51"/>
      <c r="PV38" s="51"/>
      <c r="PW38" s="51"/>
      <c r="PX38" s="51"/>
      <c r="PY38" s="51"/>
      <c r="PZ38" s="51"/>
      <c r="QA38" s="51"/>
      <c r="QB38" s="51"/>
      <c r="QC38" s="51"/>
      <c r="QD38" s="51"/>
      <c r="QE38" s="51"/>
      <c r="QF38" s="51"/>
      <c r="QG38" s="51"/>
      <c r="QH38" s="51"/>
      <c r="QI38" s="51"/>
      <c r="QJ38" s="51"/>
      <c r="QK38" s="51"/>
      <c r="QL38" s="51"/>
      <c r="QM38" s="51"/>
      <c r="QN38" s="51"/>
      <c r="QO38" s="51"/>
      <c r="QP38" s="51"/>
      <c r="QQ38" s="51"/>
      <c r="QR38" s="51"/>
      <c r="QS38" s="51"/>
      <c r="QT38" s="51"/>
      <c r="QU38" s="51"/>
      <c r="QV38" s="51"/>
      <c r="QW38" s="51"/>
      <c r="QX38" s="51"/>
      <c r="QY38" s="51"/>
      <c r="QZ38" s="51"/>
      <c r="RA38" s="51"/>
      <c r="RB38" s="51"/>
      <c r="RC38" s="51"/>
      <c r="RD38" s="51"/>
      <c r="RE38" s="51"/>
      <c r="RF38" s="51"/>
      <c r="RG38" s="51"/>
      <c r="RH38" s="51"/>
      <c r="RI38" s="51"/>
      <c r="RJ38" s="51"/>
      <c r="RK38" s="51"/>
      <c r="RL38" s="51"/>
      <c r="RM38" s="51"/>
      <c r="RN38" s="51"/>
      <c r="RO38" s="51"/>
      <c r="RP38" s="51"/>
      <c r="RQ38" s="51"/>
      <c r="RR38" s="51"/>
      <c r="RS38" s="51"/>
      <c r="RT38" s="51"/>
      <c r="RU38" s="51"/>
      <c r="RV38" s="51"/>
      <c r="RW38" s="51"/>
      <c r="RX38" s="51"/>
      <c r="RY38" s="51"/>
      <c r="RZ38" s="51"/>
      <c r="SA38" s="51"/>
      <c r="SB38" s="51"/>
      <c r="SC38" s="51"/>
      <c r="SD38" s="51"/>
      <c r="SE38" s="51"/>
      <c r="SF38" s="51"/>
      <c r="SG38" s="51"/>
      <c r="SH38" s="51"/>
      <c r="SI38" s="51"/>
      <c r="SJ38" s="51"/>
      <c r="SK38" s="51"/>
      <c r="SL38" s="51"/>
      <c r="SM38" s="51"/>
      <c r="SN38" s="51"/>
      <c r="SO38" s="51"/>
      <c r="SP38" s="51"/>
      <c r="SQ38" s="51"/>
      <c r="SR38" s="51"/>
      <c r="SS38" s="51"/>
      <c r="ST38" s="51"/>
      <c r="SU38" s="51"/>
      <c r="SV38" s="51"/>
      <c r="SW38" s="51"/>
      <c r="SX38" s="51"/>
      <c r="SY38" s="51"/>
      <c r="SZ38" s="51"/>
      <c r="TA38" s="51"/>
      <c r="TB38" s="51"/>
      <c r="TC38" s="51"/>
      <c r="TD38" s="51"/>
      <c r="TE38" s="51"/>
      <c r="TF38" s="51"/>
      <c r="TG38" s="51"/>
      <c r="TH38" s="51"/>
      <c r="TI38" s="51"/>
      <c r="TJ38" s="51"/>
      <c r="TK38" s="51"/>
      <c r="TL38" s="51"/>
      <c r="TM38" s="51"/>
      <c r="TN38" s="51"/>
      <c r="TO38" s="51"/>
      <c r="TP38" s="51"/>
      <c r="TQ38" s="51"/>
      <c r="TR38" s="51"/>
      <c r="TS38" s="51"/>
      <c r="TT38" s="51"/>
      <c r="TU38" s="51"/>
      <c r="TV38" s="51"/>
      <c r="TW38" s="51"/>
      <c r="TX38" s="51"/>
      <c r="TY38" s="51"/>
      <c r="TZ38" s="51"/>
      <c r="UA38" s="51"/>
      <c r="UB38" s="51"/>
      <c r="UC38" s="51"/>
      <c r="UD38" s="51"/>
      <c r="UE38" s="51"/>
      <c r="UF38" s="51"/>
      <c r="UG38" s="51"/>
      <c r="UH38" s="51"/>
      <c r="UI38" s="51"/>
      <c r="UJ38" s="51"/>
      <c r="UK38" s="51"/>
      <c r="UL38" s="51"/>
      <c r="UM38" s="51"/>
      <c r="UN38" s="51"/>
      <c r="UO38" s="51"/>
      <c r="UP38" s="51"/>
      <c r="UQ38" s="51"/>
      <c r="UR38" s="51"/>
      <c r="US38" s="51"/>
      <c r="UT38" s="51"/>
      <c r="UU38" s="51"/>
      <c r="UV38" s="51"/>
      <c r="UW38" s="51"/>
      <c r="UX38" s="51"/>
      <c r="UY38" s="51"/>
      <c r="UZ38" s="51"/>
      <c r="VA38" s="51"/>
      <c r="VB38" s="51"/>
      <c r="VC38" s="51"/>
      <c r="VD38" s="51"/>
      <c r="VE38" s="51"/>
      <c r="VF38" s="51"/>
      <c r="VG38" s="51"/>
      <c r="VH38" s="51"/>
      <c r="VI38" s="51"/>
      <c r="VJ38" s="51"/>
      <c r="VK38" s="51"/>
      <c r="VL38" s="51"/>
      <c r="VM38" s="51"/>
      <c r="VN38" s="51"/>
      <c r="VO38" s="51"/>
      <c r="VP38" s="51"/>
      <c r="VQ38" s="51"/>
      <c r="VR38" s="51"/>
      <c r="VS38" s="51"/>
      <c r="VT38" s="51"/>
      <c r="VU38" s="51"/>
      <c r="VV38" s="51"/>
      <c r="VW38" s="51"/>
      <c r="VX38" s="51"/>
      <c r="VY38" s="51"/>
      <c r="VZ38" s="51"/>
      <c r="WA38" s="51"/>
      <c r="WB38" s="51"/>
      <c r="WC38" s="51"/>
      <c r="WD38" s="51"/>
      <c r="WE38" s="51"/>
      <c r="WF38" s="51"/>
      <c r="WG38" s="51"/>
      <c r="WH38" s="51"/>
      <c r="WI38" s="51"/>
      <c r="WJ38" s="51"/>
      <c r="WK38" s="51"/>
      <c r="WL38" s="51"/>
      <c r="WM38" s="51"/>
      <c r="WN38" s="51"/>
      <c r="WO38" s="51"/>
      <c r="WP38" s="51"/>
      <c r="WQ38" s="51"/>
      <c r="WR38" s="51"/>
      <c r="WS38" s="51"/>
      <c r="WT38" s="51"/>
      <c r="WU38" s="51"/>
      <c r="WV38" s="51"/>
      <c r="WW38" s="51"/>
      <c r="WX38" s="51"/>
      <c r="WY38" s="51"/>
      <c r="WZ38" s="51"/>
      <c r="XA38" s="51"/>
      <c r="XB38" s="51"/>
      <c r="XC38" s="51"/>
      <c r="XD38" s="51"/>
      <c r="XE38" s="51"/>
      <c r="XF38" s="51"/>
      <c r="XG38" s="51"/>
      <c r="XH38" s="51"/>
      <c r="XI38" s="51"/>
      <c r="XJ38" s="51"/>
      <c r="XK38" s="51"/>
      <c r="XL38" s="51"/>
      <c r="XM38" s="51"/>
      <c r="XN38" s="51"/>
      <c r="XO38" s="51"/>
      <c r="XP38" s="51"/>
      <c r="XQ38" s="51"/>
      <c r="XR38" s="51"/>
      <c r="XS38" s="51"/>
      <c r="XT38" s="51"/>
      <c r="XU38" s="51"/>
      <c r="XV38" s="51"/>
      <c r="XW38" s="51"/>
      <c r="XX38" s="51"/>
      <c r="XY38" s="51"/>
      <c r="XZ38" s="51"/>
      <c r="YA38" s="51"/>
      <c r="YB38" s="51"/>
      <c r="YC38" s="51"/>
      <c r="YD38" s="51"/>
      <c r="YE38" s="51"/>
      <c r="YF38" s="51"/>
      <c r="YG38" s="51"/>
      <c r="YH38" s="51"/>
      <c r="YI38" s="51"/>
      <c r="YJ38" s="51"/>
      <c r="YK38" s="51"/>
      <c r="YL38" s="51"/>
      <c r="YM38" s="51"/>
      <c r="YN38" s="51"/>
      <c r="YO38" s="51"/>
      <c r="YP38" s="51"/>
      <c r="YQ38" s="51"/>
      <c r="YR38" s="51"/>
      <c r="YS38" s="51"/>
      <c r="YT38" s="51"/>
      <c r="YU38" s="51"/>
      <c r="YV38" s="51"/>
      <c r="YW38" s="51"/>
      <c r="YX38" s="51"/>
      <c r="YY38" s="51"/>
      <c r="YZ38" s="51"/>
      <c r="ZA38" s="51"/>
      <c r="ZB38" s="51"/>
      <c r="ZC38" s="51"/>
      <c r="ZD38" s="51"/>
      <c r="ZE38" s="51"/>
      <c r="ZF38" s="51"/>
      <c r="ZG38" s="51"/>
      <c r="ZH38" s="51"/>
      <c r="ZI38" s="51"/>
      <c r="ZJ38" s="51"/>
      <c r="ZK38" s="51"/>
      <c r="ZL38" s="51"/>
      <c r="ZM38" s="51"/>
      <c r="ZN38" s="51"/>
      <c r="ZO38" s="51"/>
      <c r="ZP38" s="51"/>
      <c r="ZQ38" s="51"/>
      <c r="ZR38" s="51"/>
      <c r="ZS38" s="51"/>
      <c r="ZT38" s="51"/>
      <c r="ZU38" s="51"/>
      <c r="ZV38" s="51"/>
      <c r="ZW38" s="51"/>
      <c r="ZX38" s="51"/>
      <c r="ZY38" s="51"/>
      <c r="ZZ38" s="51"/>
      <c r="AAA38" s="51"/>
      <c r="AAB38" s="51"/>
      <c r="AAC38" s="51"/>
      <c r="AAD38" s="51"/>
      <c r="AAE38" s="51"/>
      <c r="AAF38" s="51"/>
      <c r="AAG38" s="51"/>
      <c r="AAH38" s="51"/>
      <c r="AAI38" s="51"/>
      <c r="AAJ38" s="51"/>
      <c r="AAK38" s="51"/>
      <c r="AAL38" s="51"/>
      <c r="AAM38" s="51"/>
      <c r="AAN38" s="51"/>
      <c r="AAO38" s="51"/>
      <c r="AAP38" s="51"/>
      <c r="AAQ38" s="51"/>
      <c r="AAR38" s="51"/>
      <c r="AAS38" s="51"/>
      <c r="AAT38" s="51"/>
      <c r="AAU38" s="51"/>
      <c r="AAV38" s="51"/>
      <c r="AAW38" s="51"/>
      <c r="AAX38" s="51"/>
      <c r="AAY38" s="51"/>
      <c r="AAZ38" s="51"/>
      <c r="ABA38" s="51"/>
      <c r="ABB38" s="51"/>
      <c r="ABC38" s="51"/>
      <c r="ABD38" s="51"/>
      <c r="ABE38" s="51"/>
      <c r="ABF38" s="51"/>
      <c r="ABG38" s="51"/>
      <c r="ABH38" s="51"/>
      <c r="ABI38" s="51"/>
      <c r="ABJ38" s="51"/>
      <c r="ABK38" s="51"/>
      <c r="ABL38" s="51"/>
      <c r="ABM38" s="51"/>
      <c r="ABN38" s="51"/>
      <c r="ABO38" s="51"/>
      <c r="ABP38" s="51"/>
      <c r="ABQ38" s="51"/>
      <c r="ABR38" s="51"/>
      <c r="ABS38" s="51"/>
      <c r="ABT38" s="51"/>
      <c r="ABU38" s="51"/>
      <c r="ABV38" s="51"/>
      <c r="ABW38" s="51"/>
      <c r="ABX38" s="51"/>
      <c r="ABY38" s="51"/>
      <c r="ABZ38" s="51"/>
      <c r="ACA38" s="51"/>
      <c r="ACB38" s="51"/>
      <c r="ACC38" s="51"/>
      <c r="ACD38" s="51"/>
      <c r="ACE38" s="51"/>
      <c r="ACF38" s="51"/>
      <c r="ACG38" s="51"/>
      <c r="ACH38" s="51"/>
      <c r="ACI38" s="51"/>
      <c r="ACJ38" s="51"/>
      <c r="ACK38" s="51"/>
      <c r="ACL38" s="51"/>
      <c r="ACM38" s="51"/>
      <c r="ACN38" s="51"/>
      <c r="ACO38" s="51"/>
      <c r="ACP38" s="51"/>
      <c r="ACQ38" s="51"/>
      <c r="ACR38" s="51"/>
      <c r="ACS38" s="51"/>
      <c r="ACT38" s="51"/>
      <c r="ACU38" s="51"/>
      <c r="ACV38" s="51"/>
      <c r="ACW38" s="51"/>
      <c r="ACX38" s="51"/>
      <c r="ACY38" s="51"/>
      <c r="ACZ38" s="51"/>
      <c r="ADA38" s="51"/>
      <c r="ADB38" s="51"/>
      <c r="ADC38" s="51"/>
      <c r="ADD38" s="51"/>
      <c r="ADE38" s="51"/>
      <c r="ADF38" s="51"/>
      <c r="ADG38" s="51"/>
      <c r="ADH38" s="51"/>
      <c r="ADI38" s="51"/>
      <c r="ADJ38" s="51"/>
      <c r="ADK38" s="51"/>
      <c r="ADL38" s="51"/>
      <c r="ADM38" s="51"/>
      <c r="ADN38" s="51"/>
      <c r="ADO38" s="51"/>
      <c r="ADP38" s="51"/>
      <c r="ADQ38" s="51"/>
      <c r="ADR38" s="51"/>
      <c r="ADS38" s="51"/>
      <c r="ADT38" s="51"/>
      <c r="ADU38" s="51"/>
      <c r="ADV38" s="51"/>
      <c r="ADW38" s="51"/>
      <c r="ADX38" s="51"/>
      <c r="ADY38" s="51"/>
      <c r="ADZ38" s="51"/>
      <c r="AEA38" s="51"/>
      <c r="AEB38" s="51"/>
      <c r="AEC38" s="51"/>
      <c r="AED38" s="51"/>
      <c r="AEE38" s="51"/>
      <c r="AEF38" s="51"/>
      <c r="AEG38" s="51"/>
      <c r="AEH38" s="51"/>
      <c r="AEI38" s="51"/>
      <c r="AEJ38" s="51"/>
      <c r="AEK38" s="51"/>
      <c r="AEL38" s="51"/>
      <c r="AEM38" s="51"/>
      <c r="AEN38" s="51"/>
      <c r="AEO38" s="51"/>
      <c r="AEP38" s="51"/>
      <c r="AEQ38" s="51"/>
      <c r="AER38" s="51"/>
      <c r="AES38" s="51"/>
      <c r="AET38" s="51"/>
      <c r="AEU38" s="51"/>
      <c r="AEV38" s="51"/>
      <c r="AEW38" s="51"/>
      <c r="AEX38" s="51"/>
      <c r="AEY38" s="51"/>
      <c r="AEZ38" s="51"/>
      <c r="AFA38" s="51"/>
      <c r="AFB38" s="51"/>
      <c r="AFC38" s="51"/>
      <c r="AFD38" s="51"/>
      <c r="AFE38" s="51"/>
      <c r="AFF38" s="51"/>
      <c r="AFG38" s="51"/>
      <c r="AFH38" s="51"/>
      <c r="AFI38" s="51"/>
      <c r="AFJ38" s="51"/>
      <c r="AFK38" s="51"/>
      <c r="AFL38" s="51"/>
      <c r="AFM38" s="51"/>
      <c r="AFN38" s="51"/>
      <c r="AFO38" s="51"/>
      <c r="AFP38" s="51"/>
      <c r="AFQ38" s="51"/>
      <c r="AFR38" s="51"/>
      <c r="AFS38" s="51"/>
      <c r="AFT38" s="51"/>
      <c r="AFU38" s="51"/>
      <c r="AFV38" s="51"/>
      <c r="AFW38" s="51"/>
      <c r="AFX38" s="51"/>
      <c r="AFY38" s="51"/>
      <c r="AFZ38" s="51"/>
      <c r="AGA38" s="51"/>
      <c r="AGB38" s="51"/>
      <c r="AGC38" s="51"/>
      <c r="AGD38" s="51"/>
      <c r="AGE38" s="51"/>
      <c r="AGF38" s="51"/>
      <c r="AGG38" s="51"/>
      <c r="AGH38" s="51"/>
      <c r="AGI38" s="51"/>
      <c r="AGJ38" s="51"/>
      <c r="AGK38" s="51"/>
      <c r="AGL38" s="51"/>
      <c r="AGM38" s="51"/>
      <c r="AGN38" s="51"/>
      <c r="AGO38" s="51"/>
      <c r="AGP38" s="51"/>
      <c r="AGQ38" s="51"/>
      <c r="AGR38" s="51"/>
      <c r="AGS38" s="51"/>
      <c r="AGT38" s="51"/>
      <c r="AGU38" s="51"/>
      <c r="AGV38" s="51"/>
      <c r="AGW38" s="51"/>
      <c r="AGX38" s="51"/>
      <c r="AGY38" s="51"/>
      <c r="AGZ38" s="51"/>
      <c r="AHA38" s="51"/>
      <c r="AHB38" s="51"/>
      <c r="AHC38" s="51"/>
      <c r="AHD38" s="51"/>
      <c r="AHE38" s="51"/>
      <c r="AHF38" s="51"/>
      <c r="AHG38" s="51"/>
      <c r="AHH38" s="51"/>
      <c r="AHI38" s="51"/>
      <c r="AHJ38" s="51"/>
      <c r="AHK38" s="51"/>
      <c r="AHL38" s="51"/>
      <c r="AHM38" s="51"/>
      <c r="AHN38" s="51"/>
      <c r="AHO38" s="51"/>
      <c r="AHP38" s="51"/>
      <c r="AHQ38" s="51"/>
      <c r="AHR38" s="51"/>
      <c r="AHS38" s="51"/>
      <c r="AHT38" s="51"/>
      <c r="AHU38" s="51"/>
      <c r="AHV38" s="51"/>
      <c r="AHW38" s="51"/>
      <c r="AHX38" s="51"/>
      <c r="AHY38" s="51"/>
      <c r="AHZ38" s="51"/>
      <c r="AIA38" s="51"/>
      <c r="AIB38" s="51"/>
      <c r="AIC38" s="51"/>
      <c r="AID38" s="51"/>
      <c r="AIE38" s="51"/>
      <c r="AIF38" s="51"/>
      <c r="AIG38" s="51"/>
      <c r="AIH38" s="51"/>
      <c r="AII38" s="51"/>
      <c r="AIJ38" s="51"/>
      <c r="AIK38" s="51"/>
      <c r="AIL38" s="51"/>
      <c r="AIM38" s="51"/>
      <c r="AIN38" s="51"/>
      <c r="AIO38" s="51"/>
      <c r="AIP38" s="51"/>
      <c r="AIQ38" s="51"/>
      <c r="AIR38" s="51"/>
      <c r="AIS38" s="51"/>
      <c r="AIT38" s="51"/>
      <c r="AIU38" s="51"/>
      <c r="AIV38" s="51"/>
      <c r="AIW38" s="51"/>
      <c r="AIX38" s="51"/>
      <c r="AIY38" s="51"/>
      <c r="AIZ38" s="51"/>
      <c r="AJA38" s="51"/>
      <c r="AJB38" s="51"/>
      <c r="AJC38" s="51"/>
      <c r="AJD38" s="51"/>
      <c r="AJE38" s="51"/>
      <c r="AJF38" s="51"/>
      <c r="AJG38" s="51"/>
      <c r="AJH38" s="51"/>
      <c r="AJI38" s="51"/>
      <c r="AJJ38" s="51"/>
      <c r="AJK38" s="51"/>
      <c r="AJL38" s="51"/>
      <c r="AJM38" s="51"/>
      <c r="AJN38" s="51"/>
      <c r="AJO38" s="51"/>
      <c r="AJP38" s="51"/>
      <c r="AJQ38" s="51"/>
      <c r="AJR38" s="51"/>
      <c r="AJS38" s="51"/>
      <c r="AJT38" s="51"/>
      <c r="AJU38" s="51"/>
      <c r="AJV38" s="51"/>
      <c r="AJW38" s="51"/>
      <c r="AJX38" s="51"/>
      <c r="AJY38" s="51"/>
      <c r="AJZ38" s="51"/>
      <c r="AKA38" s="51"/>
      <c r="AKB38" s="51"/>
      <c r="AKC38" s="51"/>
      <c r="AKD38" s="51"/>
      <c r="AKE38" s="51"/>
      <c r="AKF38" s="51"/>
      <c r="AKG38" s="51"/>
      <c r="AKH38" s="51"/>
      <c r="AKI38" s="51"/>
      <c r="AKJ38" s="51"/>
      <c r="AKK38" s="51"/>
      <c r="AKL38" s="51"/>
      <c r="AKM38" s="51"/>
      <c r="AKN38" s="51"/>
      <c r="AKO38" s="51"/>
      <c r="AKP38" s="51"/>
      <c r="AKQ38" s="51"/>
      <c r="AKR38" s="51"/>
      <c r="AKS38" s="51"/>
      <c r="AKT38" s="51"/>
      <c r="AKU38" s="51"/>
      <c r="AKV38" s="51"/>
      <c r="AKW38" s="51"/>
      <c r="AKX38" s="51"/>
      <c r="AKY38" s="51"/>
      <c r="AKZ38" s="51"/>
      <c r="ALA38" s="51"/>
      <c r="ALB38" s="51"/>
      <c r="ALC38" s="51"/>
      <c r="ALD38" s="51"/>
      <c r="ALE38" s="51"/>
      <c r="ALF38" s="51"/>
      <c r="ALG38" s="51"/>
      <c r="ALH38" s="51"/>
      <c r="ALI38" s="51"/>
      <c r="ALJ38" s="51"/>
      <c r="ALK38" s="51"/>
      <c r="ALL38" s="51"/>
      <c r="ALM38" s="51"/>
      <c r="ALN38" s="51"/>
      <c r="ALO38" s="51"/>
      <c r="ALP38" s="51"/>
      <c r="ALQ38" s="51"/>
      <c r="ALR38" s="51"/>
      <c r="ALS38" s="51"/>
      <c r="ALT38" s="51"/>
      <c r="ALU38" s="51"/>
      <c r="ALV38" s="51"/>
      <c r="ALW38" s="51"/>
      <c r="ALX38" s="51"/>
      <c r="ALY38" s="51"/>
      <c r="ALZ38" s="51"/>
      <c r="AMA38" s="51"/>
      <c r="AMB38" s="51"/>
      <c r="AMC38" s="51"/>
      <c r="AMD38" s="51"/>
      <c r="AME38" s="51"/>
      <c r="AMF38" s="51"/>
      <c r="AMG38" s="51"/>
      <c r="AMH38" s="51"/>
      <c r="AMI38" s="51"/>
      <c r="AMJ38" s="51"/>
      <c r="AMK38" s="51"/>
    </row>
    <row r="40" spans="1:1025">
      <c r="A40" s="773"/>
    </row>
    <row r="41" spans="1:1025" ht="7.5" customHeight="1"/>
    <row r="43" spans="1:1025">
      <c r="A43" s="836" t="s">
        <v>1689</v>
      </c>
    </row>
    <row r="44" spans="1:1025">
      <c r="A44" s="835" t="s">
        <v>1690</v>
      </c>
    </row>
    <row r="45" spans="1:1025">
      <c r="A45" s="835" t="s">
        <v>1691</v>
      </c>
    </row>
  </sheetData>
  <mergeCells count="32">
    <mergeCell ref="A1:M1"/>
    <mergeCell ref="D18:D20"/>
    <mergeCell ref="G18:G20"/>
    <mergeCell ref="A19:B19"/>
    <mergeCell ref="A20:B20"/>
    <mergeCell ref="D7:E7"/>
    <mergeCell ref="G7:H7"/>
    <mergeCell ref="D8:E8"/>
    <mergeCell ref="G8:H8"/>
    <mergeCell ref="J16:M16"/>
    <mergeCell ref="A2:M2"/>
    <mergeCell ref="A3:M3"/>
    <mergeCell ref="A6:B6"/>
    <mergeCell ref="J7:M7"/>
    <mergeCell ref="D6:H6"/>
    <mergeCell ref="J6:M6"/>
    <mergeCell ref="A37:B37"/>
    <mergeCell ref="J37:M37"/>
    <mergeCell ref="D25:E25"/>
    <mergeCell ref="G25:H25"/>
    <mergeCell ref="J33:M33"/>
    <mergeCell ref="D34:D36"/>
    <mergeCell ref="G34:G36"/>
    <mergeCell ref="A35:B35"/>
    <mergeCell ref="A36:B36"/>
    <mergeCell ref="J24:M24"/>
    <mergeCell ref="A21:B21"/>
    <mergeCell ref="A23:B23"/>
    <mergeCell ref="D23:H23"/>
    <mergeCell ref="A4:M5"/>
    <mergeCell ref="D24:E24"/>
    <mergeCell ref="G24:H24"/>
  </mergeCells>
  <printOptions horizontalCentered="1"/>
  <pageMargins left="0.51181102362204722" right="0.51181102362204722" top="0.59055118110236227" bottom="0.59055118110236227" header="0" footer="0"/>
  <pageSetup paperSize="9" scale="77" orientation="landscape"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M114"/>
  <sheetViews>
    <sheetView view="pageBreakPreview" topLeftCell="A18" zoomScale="80" zoomScaleNormal="70" zoomScaleSheetLayoutView="80" zoomScalePageLayoutView="70" workbookViewId="0">
      <selection activeCell="E99" sqref="E8:E99"/>
    </sheetView>
  </sheetViews>
  <sheetFormatPr defaultRowHeight="14.25"/>
  <cols>
    <col min="1" max="1" width="10" style="857" bestFit="1" customWidth="1"/>
    <col min="2" max="2" width="118.42578125" style="856" customWidth="1"/>
    <col min="3" max="3" width="10" style="856" customWidth="1"/>
    <col min="4" max="4" width="11" style="857" bestFit="1" customWidth="1"/>
    <col min="5" max="5" width="17.28515625" style="885" customWidth="1"/>
    <col min="6" max="6" width="9" style="857" bestFit="1" customWidth="1"/>
    <col min="7" max="7" width="17" style="870" customWidth="1"/>
    <col min="8" max="8" width="21.85546875" style="870" customWidth="1"/>
    <col min="9" max="9" width="17.140625" style="856" customWidth="1"/>
    <col min="10" max="10" width="11.5703125" style="856" customWidth="1"/>
    <col min="11" max="12" width="9.140625" style="856"/>
    <col min="13" max="13" width="8.5703125" style="857" bestFit="1" customWidth="1"/>
    <col min="14" max="16384" width="9.140625" style="856"/>
  </cols>
  <sheetData>
    <row r="1" spans="1:13" ht="89.25" customHeight="1">
      <c r="A1" s="961"/>
      <c r="B1" s="961"/>
      <c r="C1" s="961"/>
      <c r="D1" s="961"/>
      <c r="E1" s="961"/>
      <c r="F1" s="961"/>
      <c r="G1" s="961"/>
      <c r="H1" s="961"/>
    </row>
    <row r="2" spans="1:13" ht="25.5" customHeight="1">
      <c r="A2" s="963" t="s">
        <v>1554</v>
      </c>
      <c r="B2" s="964"/>
      <c r="C2" s="964"/>
      <c r="D2" s="964"/>
      <c r="E2" s="964"/>
      <c r="F2" s="964"/>
      <c r="G2" s="964"/>
      <c r="H2" s="965"/>
    </row>
    <row r="3" spans="1:13" s="859" customFormat="1" ht="41.25" customHeight="1">
      <c r="A3" s="855" t="s">
        <v>349</v>
      </c>
      <c r="B3" s="966" t="s">
        <v>1716</v>
      </c>
      <c r="C3" s="966"/>
      <c r="D3" s="966"/>
      <c r="E3" s="966"/>
      <c r="F3" s="966"/>
      <c r="G3" s="966"/>
      <c r="H3" s="967"/>
      <c r="M3" s="860"/>
    </row>
    <row r="4" spans="1:13" s="859" customFormat="1" ht="23.25" customHeight="1">
      <c r="A4" s="855" t="s">
        <v>9</v>
      </c>
      <c r="B4" s="966" t="s">
        <v>1595</v>
      </c>
      <c r="C4" s="966"/>
      <c r="D4" s="966"/>
      <c r="E4" s="966"/>
      <c r="F4" s="966"/>
      <c r="G4" s="966"/>
      <c r="H4" s="967"/>
      <c r="M4" s="860"/>
    </row>
    <row r="5" spans="1:13" ht="15" customHeight="1">
      <c r="A5" s="968" t="s">
        <v>10</v>
      </c>
      <c r="B5" s="969" t="s">
        <v>11</v>
      </c>
      <c r="C5" s="969" t="s">
        <v>134</v>
      </c>
      <c r="D5" s="969" t="s">
        <v>121</v>
      </c>
      <c r="E5" s="1253" t="s">
        <v>135</v>
      </c>
      <c r="F5" s="1254" t="s">
        <v>12</v>
      </c>
      <c r="G5" s="1254"/>
      <c r="H5" s="970" t="s">
        <v>137</v>
      </c>
    </row>
    <row r="6" spans="1:13" ht="31.5" customHeight="1">
      <c r="A6" s="968"/>
      <c r="B6" s="969"/>
      <c r="C6" s="969"/>
      <c r="D6" s="969"/>
      <c r="E6" s="1253"/>
      <c r="F6" s="874" t="s">
        <v>13</v>
      </c>
      <c r="G6" s="875" t="s">
        <v>136</v>
      </c>
      <c r="H6" s="970"/>
    </row>
    <row r="7" spans="1:13" ht="22.5" customHeight="1">
      <c r="A7" s="876">
        <f>+OBSOLETO!C13</f>
        <v>1</v>
      </c>
      <c r="B7" s="877" t="s">
        <v>1614</v>
      </c>
      <c r="C7" s="864"/>
      <c r="D7" s="865"/>
      <c r="E7" s="878"/>
      <c r="F7" s="879"/>
      <c r="G7" s="878"/>
      <c r="H7" s="866"/>
    </row>
    <row r="8" spans="1:13">
      <c r="A8" s="880" t="s">
        <v>7</v>
      </c>
      <c r="B8" s="881" t="s">
        <v>1556</v>
      </c>
      <c r="C8" s="882">
        <v>6</v>
      </c>
      <c r="D8" s="882" t="s">
        <v>126</v>
      </c>
      <c r="E8" s="883"/>
      <c r="F8" s="884">
        <f>BDI!$E$19</f>
        <v>0.24117279049169804</v>
      </c>
      <c r="G8" s="883">
        <f>E8*F8</f>
        <v>0</v>
      </c>
      <c r="H8" s="883"/>
      <c r="I8" s="885"/>
      <c r="J8" s="885"/>
    </row>
    <row r="9" spans="1:13">
      <c r="A9" s="880" t="s">
        <v>124</v>
      </c>
      <c r="B9" s="881" t="s">
        <v>1549</v>
      </c>
      <c r="C9" s="882">
        <v>20</v>
      </c>
      <c r="D9" s="882" t="s">
        <v>108</v>
      </c>
      <c r="E9" s="883"/>
      <c r="F9" s="884">
        <f>BDI!$E$19</f>
        <v>0.24117279049169804</v>
      </c>
      <c r="G9" s="883">
        <f t="shared" ref="G9:G10" si="0">E9*F9</f>
        <v>0</v>
      </c>
      <c r="H9" s="883"/>
    </row>
    <row r="10" spans="1:13">
      <c r="A10" s="880" t="s">
        <v>125</v>
      </c>
      <c r="B10" s="881" t="s">
        <v>175</v>
      </c>
      <c r="C10" s="882">
        <v>8</v>
      </c>
      <c r="D10" s="882" t="s">
        <v>17</v>
      </c>
      <c r="E10" s="883"/>
      <c r="F10" s="884">
        <f>+F8</f>
        <v>0.24117279049169804</v>
      </c>
      <c r="G10" s="883">
        <f t="shared" si="0"/>
        <v>0</v>
      </c>
      <c r="H10" s="883"/>
    </row>
    <row r="11" spans="1:13" ht="42.75">
      <c r="A11" s="880" t="s">
        <v>127</v>
      </c>
      <c r="B11" s="887" t="s">
        <v>1615</v>
      </c>
      <c r="C11" s="888">
        <v>10</v>
      </c>
      <c r="D11" s="865" t="s">
        <v>179</v>
      </c>
      <c r="E11" s="883"/>
      <c r="F11" s="889">
        <f>BDI!$E$19</f>
        <v>0.24117279049169804</v>
      </c>
      <c r="G11" s="883">
        <f t="shared" ref="G11:G12" si="1">ROUND(E11*F11,2)</f>
        <v>0</v>
      </c>
      <c r="H11" s="883"/>
    </row>
    <row r="12" spans="1:13" s="890" customFormat="1" ht="28.5">
      <c r="A12" s="880" t="s">
        <v>1011</v>
      </c>
      <c r="B12" s="887" t="s">
        <v>1508</v>
      </c>
      <c r="C12" s="888">
        <v>5</v>
      </c>
      <c r="D12" s="865" t="s">
        <v>179</v>
      </c>
      <c r="E12" s="883"/>
      <c r="F12" s="889">
        <f>BDI!$E$19</f>
        <v>0.24117279049169804</v>
      </c>
      <c r="G12" s="883">
        <f t="shared" si="1"/>
        <v>0</v>
      </c>
      <c r="H12" s="883"/>
      <c r="M12" s="891"/>
    </row>
    <row r="13" spans="1:13" ht="15">
      <c r="A13" s="892"/>
      <c r="B13" s="893" t="s">
        <v>1585</v>
      </c>
      <c r="C13" s="882"/>
      <c r="D13" s="886"/>
      <c r="E13" s="883"/>
      <c r="F13" s="894"/>
      <c r="G13" s="895"/>
      <c r="H13" s="896"/>
    </row>
    <row r="14" spans="1:13" ht="15">
      <c r="A14" s="876">
        <v>2</v>
      </c>
      <c r="B14" s="897" t="s">
        <v>1603</v>
      </c>
      <c r="C14" s="864"/>
      <c r="D14" s="865"/>
      <c r="E14" s="883"/>
      <c r="F14" s="879"/>
      <c r="G14" s="883"/>
      <c r="H14" s="866"/>
    </row>
    <row r="15" spans="1:13" ht="15">
      <c r="A15" s="876" t="s">
        <v>8</v>
      </c>
      <c r="B15" s="877" t="s">
        <v>1482</v>
      </c>
      <c r="C15" s="864"/>
      <c r="D15" s="865"/>
      <c r="E15" s="883"/>
      <c r="F15" s="879"/>
      <c r="G15" s="883"/>
      <c r="H15" s="866"/>
    </row>
    <row r="16" spans="1:13" ht="28.5">
      <c r="A16" s="892" t="s">
        <v>1452</v>
      </c>
      <c r="B16" s="887" t="s">
        <v>1693</v>
      </c>
      <c r="C16" s="882">
        <v>1</v>
      </c>
      <c r="D16" s="886" t="s">
        <v>245</v>
      </c>
      <c r="E16" s="883"/>
      <c r="F16" s="898">
        <f>+F8</f>
        <v>0.24117279049169804</v>
      </c>
      <c r="G16" s="883">
        <f t="shared" ref="G16" si="2">ROUND(E16*F16,2)</f>
        <v>0</v>
      </c>
      <c r="H16" s="899"/>
      <c r="J16" s="900"/>
    </row>
    <row r="17" spans="1:13">
      <c r="A17" s="892" t="s">
        <v>1453</v>
      </c>
      <c r="B17" s="887" t="s">
        <v>1692</v>
      </c>
      <c r="C17" s="882">
        <v>1</v>
      </c>
      <c r="D17" s="901" t="s">
        <v>245</v>
      </c>
      <c r="E17" s="923"/>
      <c r="F17" s="898">
        <f>BDI!$E$35</f>
        <v>0.14012827909185233</v>
      </c>
      <c r="G17" s="883">
        <f t="shared" ref="G17" si="3">ROUND(E17*F17,2)</f>
        <v>0</v>
      </c>
      <c r="H17" s="899"/>
      <c r="J17" s="900"/>
    </row>
    <row r="18" spans="1:13" ht="15">
      <c r="A18" s="876" t="s">
        <v>1454</v>
      </c>
      <c r="B18" s="877" t="s">
        <v>1694</v>
      </c>
      <c r="C18" s="864"/>
      <c r="D18" s="865"/>
      <c r="E18" s="883"/>
      <c r="F18" s="879"/>
      <c r="G18" s="883"/>
      <c r="H18" s="866"/>
    </row>
    <row r="19" spans="1:13">
      <c r="A19" s="892" t="s">
        <v>1561</v>
      </c>
      <c r="B19" s="887" t="s">
        <v>1625</v>
      </c>
      <c r="C19" s="882">
        <v>32</v>
      </c>
      <c r="D19" s="886" t="s">
        <v>108</v>
      </c>
      <c r="E19" s="883"/>
      <c r="F19" s="889">
        <f>BDI!$E$19</f>
        <v>0.24117279049169804</v>
      </c>
      <c r="G19" s="883">
        <f t="shared" ref="G19:G21" si="4">ROUND(E19*F19,2)</f>
        <v>0</v>
      </c>
      <c r="H19" s="899"/>
      <c r="J19" s="900"/>
    </row>
    <row r="20" spans="1:13">
      <c r="A20" s="892" t="s">
        <v>1562</v>
      </c>
      <c r="B20" s="887" t="s">
        <v>1557</v>
      </c>
      <c r="C20" s="882">
        <v>32</v>
      </c>
      <c r="D20" s="886" t="s">
        <v>108</v>
      </c>
      <c r="E20" s="883"/>
      <c r="F20" s="889">
        <f>BDI!$E$19</f>
        <v>0.24117279049169804</v>
      </c>
      <c r="G20" s="883">
        <f t="shared" si="4"/>
        <v>0</v>
      </c>
      <c r="H20" s="899"/>
      <c r="J20" s="900"/>
    </row>
    <row r="21" spans="1:13">
      <c r="A21" s="892" t="s">
        <v>1563</v>
      </c>
      <c r="B21" s="887" t="s">
        <v>1558</v>
      </c>
      <c r="C21" s="882">
        <v>16</v>
      </c>
      <c r="D21" s="901" t="s">
        <v>108</v>
      </c>
      <c r="E21" s="883"/>
      <c r="F21" s="889">
        <f>BDI!$E$19</f>
        <v>0.24117279049169804</v>
      </c>
      <c r="G21" s="883">
        <f t="shared" si="4"/>
        <v>0</v>
      </c>
      <c r="H21" s="899"/>
      <c r="J21" s="900"/>
    </row>
    <row r="22" spans="1:13" ht="15">
      <c r="A22" s="861" t="s">
        <v>1455</v>
      </c>
      <c r="B22" s="902" t="s">
        <v>1480</v>
      </c>
      <c r="C22" s="888"/>
      <c r="D22" s="901"/>
      <c r="E22" s="883"/>
      <c r="F22" s="898"/>
      <c r="G22" s="883"/>
      <c r="H22" s="899"/>
    </row>
    <row r="23" spans="1:13" s="890" customFormat="1" ht="28.5">
      <c r="A23" s="880" t="s">
        <v>1564</v>
      </c>
      <c r="B23" s="887" t="s">
        <v>1551</v>
      </c>
      <c r="C23" s="888">
        <v>435.6</v>
      </c>
      <c r="D23" s="865" t="s">
        <v>0</v>
      </c>
      <c r="E23" s="883"/>
      <c r="F23" s="889">
        <f>BDI!$E$19</f>
        <v>0.24117279049169804</v>
      </c>
      <c r="G23" s="883">
        <f t="shared" ref="G23:G34" si="5">ROUND(E23*F23,2)</f>
        <v>0</v>
      </c>
      <c r="H23" s="883"/>
      <c r="M23" s="891"/>
    </row>
    <row r="24" spans="1:13" s="890" customFormat="1">
      <c r="A24" s="880" t="s">
        <v>1565</v>
      </c>
      <c r="B24" s="887" t="s">
        <v>1497</v>
      </c>
      <c r="C24" s="888">
        <v>1</v>
      </c>
      <c r="D24" s="865" t="s">
        <v>1498</v>
      </c>
      <c r="E24" s="883"/>
      <c r="F24" s="889">
        <f>BDI!$E$19</f>
        <v>0.24117279049169804</v>
      </c>
      <c r="G24" s="883">
        <f t="shared" si="5"/>
        <v>0</v>
      </c>
      <c r="H24" s="883"/>
      <c r="M24" s="891"/>
    </row>
    <row r="25" spans="1:13" s="890" customFormat="1">
      <c r="A25" s="880" t="s">
        <v>1566</v>
      </c>
      <c r="B25" s="887" t="s">
        <v>1501</v>
      </c>
      <c r="C25" s="888">
        <v>87.729745588892669</v>
      </c>
      <c r="D25" s="865" t="s">
        <v>18</v>
      </c>
      <c r="E25" s="883"/>
      <c r="F25" s="889">
        <v>0</v>
      </c>
      <c r="G25" s="883">
        <f t="shared" si="5"/>
        <v>0</v>
      </c>
      <c r="H25" s="883"/>
      <c r="M25" s="891"/>
    </row>
    <row r="26" spans="1:13" s="890" customFormat="1">
      <c r="A26" s="880" t="s">
        <v>1567</v>
      </c>
      <c r="B26" s="887" t="s">
        <v>1505</v>
      </c>
      <c r="C26" s="888">
        <v>33</v>
      </c>
      <c r="D26" s="865" t="s">
        <v>1597</v>
      </c>
      <c r="E26" s="883"/>
      <c r="F26" s="889">
        <f>BDI!$E$19</f>
        <v>0.24117279049169804</v>
      </c>
      <c r="G26" s="883">
        <f t="shared" si="5"/>
        <v>0</v>
      </c>
      <c r="H26" s="883"/>
      <c r="M26" s="891"/>
    </row>
    <row r="27" spans="1:13" s="890" customFormat="1" ht="28.5">
      <c r="A27" s="880" t="s">
        <v>1568</v>
      </c>
      <c r="B27" s="887" t="s">
        <v>1508</v>
      </c>
      <c r="C27" s="888">
        <v>30</v>
      </c>
      <c r="D27" s="865" t="s">
        <v>179</v>
      </c>
      <c r="E27" s="883"/>
      <c r="F27" s="889">
        <f>BDI!$E$19</f>
        <v>0.24117279049169804</v>
      </c>
      <c r="G27" s="883">
        <f t="shared" si="5"/>
        <v>0</v>
      </c>
      <c r="H27" s="883"/>
      <c r="M27" s="891"/>
    </row>
    <row r="28" spans="1:13" s="890" customFormat="1" ht="28.5">
      <c r="A28" s="880" t="s">
        <v>1569</v>
      </c>
      <c r="B28" s="887" t="s">
        <v>1559</v>
      </c>
      <c r="C28" s="888">
        <v>30</v>
      </c>
      <c r="D28" s="865" t="s">
        <v>179</v>
      </c>
      <c r="E28" s="883"/>
      <c r="F28" s="889">
        <f>BDI!$E$19</f>
        <v>0.24117279049169804</v>
      </c>
      <c r="G28" s="883">
        <f t="shared" si="5"/>
        <v>0</v>
      </c>
      <c r="H28" s="883"/>
      <c r="M28" s="891"/>
    </row>
    <row r="29" spans="1:13" s="890" customFormat="1">
      <c r="A29" s="880" t="s">
        <v>1570</v>
      </c>
      <c r="B29" s="887" t="s">
        <v>1560</v>
      </c>
      <c r="C29" s="888">
        <v>60.96</v>
      </c>
      <c r="D29" s="888" t="s">
        <v>17</v>
      </c>
      <c r="E29" s="883"/>
      <c r="F29" s="889">
        <f>BDI!$E$19</f>
        <v>0.24117279049169804</v>
      </c>
      <c r="G29" s="883">
        <f t="shared" ref="G29" si="6">ROUND(E29*F29,2)</f>
        <v>0</v>
      </c>
      <c r="H29" s="883"/>
      <c r="M29" s="891"/>
    </row>
    <row r="30" spans="1:13" s="890" customFormat="1">
      <c r="A30" s="880" t="s">
        <v>1571</v>
      </c>
      <c r="B30" s="887" t="s">
        <v>1518</v>
      </c>
      <c r="C30" s="864">
        <v>46.799174787171864</v>
      </c>
      <c r="D30" s="865" t="s">
        <v>17</v>
      </c>
      <c r="E30" s="883"/>
      <c r="F30" s="889">
        <f>BDI!$E$19</f>
        <v>0.24117279049169804</v>
      </c>
      <c r="G30" s="883">
        <f t="shared" si="5"/>
        <v>0</v>
      </c>
      <c r="H30" s="883"/>
      <c r="M30" s="891"/>
    </row>
    <row r="31" spans="1:13" s="890" customFormat="1">
      <c r="A31" s="880" t="s">
        <v>1572</v>
      </c>
      <c r="B31" s="887" t="s">
        <v>1636</v>
      </c>
      <c r="C31" s="864">
        <v>10</v>
      </c>
      <c r="D31" s="865" t="s">
        <v>179</v>
      </c>
      <c r="E31" s="883"/>
      <c r="F31" s="889">
        <f>BDI!$E$19</f>
        <v>0.24117279049169804</v>
      </c>
      <c r="G31" s="883">
        <f t="shared" si="5"/>
        <v>0</v>
      </c>
      <c r="H31" s="883"/>
      <c r="M31" s="891"/>
    </row>
    <row r="32" spans="1:13" s="890" customFormat="1">
      <c r="A32" s="880" t="s">
        <v>1573</v>
      </c>
      <c r="B32" s="887" t="s">
        <v>1635</v>
      </c>
      <c r="C32" s="864">
        <v>2565</v>
      </c>
      <c r="D32" s="865" t="s">
        <v>285</v>
      </c>
      <c r="E32" s="883"/>
      <c r="F32" s="889">
        <f>BDI!$E$19</f>
        <v>0.24117279049169804</v>
      </c>
      <c r="G32" s="883">
        <f t="shared" si="5"/>
        <v>0</v>
      </c>
      <c r="H32" s="883"/>
      <c r="I32" s="903"/>
      <c r="M32" s="891"/>
    </row>
    <row r="33" spans="1:13" s="890" customFormat="1">
      <c r="A33" s="880" t="s">
        <v>1574</v>
      </c>
      <c r="B33" s="887" t="s">
        <v>1512</v>
      </c>
      <c r="C33" s="864">
        <v>22.431024000000001</v>
      </c>
      <c r="D33" s="865" t="s">
        <v>17</v>
      </c>
      <c r="E33" s="883"/>
      <c r="F33" s="889">
        <v>0</v>
      </c>
      <c r="G33" s="883">
        <f t="shared" si="5"/>
        <v>0</v>
      </c>
      <c r="H33" s="883"/>
      <c r="M33" s="891"/>
    </row>
    <row r="34" spans="1:13" s="890" customFormat="1" ht="28.5">
      <c r="A34" s="880" t="s">
        <v>1575</v>
      </c>
      <c r="B34" s="887" t="s">
        <v>1517</v>
      </c>
      <c r="C34" s="864">
        <v>39.779298569096085</v>
      </c>
      <c r="D34" s="865" t="s">
        <v>18</v>
      </c>
      <c r="E34" s="883"/>
      <c r="F34" s="889">
        <f>+F33</f>
        <v>0</v>
      </c>
      <c r="G34" s="883">
        <f t="shared" si="5"/>
        <v>0</v>
      </c>
      <c r="H34" s="883"/>
      <c r="I34" s="903"/>
      <c r="M34" s="891"/>
    </row>
    <row r="35" spans="1:13" s="890" customFormat="1" ht="15">
      <c r="A35" s="858" t="s">
        <v>1463</v>
      </c>
      <c r="B35" s="902" t="s">
        <v>1634</v>
      </c>
      <c r="C35" s="864"/>
      <c r="D35" s="865"/>
      <c r="E35" s="883"/>
      <c r="F35" s="889"/>
      <c r="G35" s="883"/>
      <c r="H35" s="883"/>
      <c r="I35" s="903"/>
      <c r="M35" s="891"/>
    </row>
    <row r="36" spans="1:13" s="890" customFormat="1">
      <c r="A36" s="880" t="s">
        <v>1576</v>
      </c>
      <c r="B36" s="904" t="s">
        <v>1542</v>
      </c>
      <c r="C36" s="888">
        <v>30</v>
      </c>
      <c r="D36" s="865" t="s">
        <v>108</v>
      </c>
      <c r="E36" s="883"/>
      <c r="F36" s="889">
        <f>BDI!$E$19</f>
        <v>0.24117279049169804</v>
      </c>
      <c r="G36" s="883">
        <f t="shared" ref="G36:G39" si="7">ROUND(E36*F36,2)</f>
        <v>0</v>
      </c>
      <c r="H36" s="883"/>
      <c r="I36" s="903"/>
      <c r="M36" s="891"/>
    </row>
    <row r="37" spans="1:13" s="890" customFormat="1">
      <c r="A37" s="880" t="s">
        <v>1577</v>
      </c>
      <c r="B37" s="887" t="s">
        <v>1544</v>
      </c>
      <c r="C37" s="888">
        <v>120</v>
      </c>
      <c r="D37" s="865" t="s">
        <v>108</v>
      </c>
      <c r="E37" s="883"/>
      <c r="F37" s="889">
        <f>BDI!$E$19</f>
        <v>0.24117279049169804</v>
      </c>
      <c r="G37" s="883">
        <f t="shared" si="7"/>
        <v>0</v>
      </c>
      <c r="H37" s="883"/>
      <c r="I37" s="903"/>
      <c r="M37" s="891"/>
    </row>
    <row r="38" spans="1:13" s="890" customFormat="1">
      <c r="A38" s="880" t="s">
        <v>1578</v>
      </c>
      <c r="B38" s="904" t="s">
        <v>1543</v>
      </c>
      <c r="C38" s="888">
        <v>240</v>
      </c>
      <c r="D38" s="865" t="s">
        <v>108</v>
      </c>
      <c r="E38" s="883"/>
      <c r="F38" s="889">
        <f>BDI!$E$19</f>
        <v>0.24117279049169804</v>
      </c>
      <c r="G38" s="883">
        <f t="shared" si="7"/>
        <v>0</v>
      </c>
      <c r="H38" s="883"/>
      <c r="I38" s="903"/>
      <c r="M38" s="891"/>
    </row>
    <row r="39" spans="1:13" s="890" customFormat="1">
      <c r="A39" s="880" t="s">
        <v>1579</v>
      </c>
      <c r="B39" s="904" t="s">
        <v>1541</v>
      </c>
      <c r="C39" s="888">
        <v>240</v>
      </c>
      <c r="D39" s="865" t="s">
        <v>108</v>
      </c>
      <c r="E39" s="883"/>
      <c r="F39" s="889">
        <f>BDI!$E$19</f>
        <v>0.24117279049169804</v>
      </c>
      <c r="G39" s="883">
        <f t="shared" si="7"/>
        <v>0</v>
      </c>
      <c r="H39" s="883"/>
      <c r="I39" s="903"/>
      <c r="M39" s="891"/>
    </row>
    <row r="40" spans="1:13" ht="15">
      <c r="A40" s="892"/>
      <c r="B40" s="893" t="s">
        <v>1586</v>
      </c>
      <c r="C40" s="882"/>
      <c r="D40" s="886"/>
      <c r="E40" s="883"/>
      <c r="F40" s="894"/>
      <c r="G40" s="883"/>
      <c r="H40" s="896"/>
    </row>
    <row r="41" spans="1:13" s="890" customFormat="1" ht="15">
      <c r="A41" s="876">
        <v>3</v>
      </c>
      <c r="B41" s="877" t="s">
        <v>1637</v>
      </c>
      <c r="C41" s="864"/>
      <c r="D41" s="865"/>
      <c r="E41" s="883"/>
      <c r="F41" s="879"/>
      <c r="G41" s="883"/>
      <c r="H41" s="866"/>
      <c r="M41" s="891"/>
    </row>
    <row r="42" spans="1:13" ht="15">
      <c r="A42" s="876" t="s">
        <v>189</v>
      </c>
      <c r="B42" s="877" t="s">
        <v>1642</v>
      </c>
      <c r="C42" s="864"/>
      <c r="D42" s="865"/>
      <c r="E42" s="883"/>
      <c r="F42" s="879"/>
      <c r="G42" s="883"/>
      <c r="H42" s="866"/>
    </row>
    <row r="43" spans="1:13">
      <c r="A43" s="862" t="s">
        <v>1580</v>
      </c>
      <c r="B43" s="904" t="s">
        <v>1639</v>
      </c>
      <c r="C43" s="888">
        <v>1</v>
      </c>
      <c r="D43" s="865" t="s">
        <v>245</v>
      </c>
      <c r="E43" s="883"/>
      <c r="F43" s="889">
        <f>BDI!$E$35</f>
        <v>0.14012827909185233</v>
      </c>
      <c r="G43" s="883">
        <f>ROUND(E43*F43,2)</f>
        <v>0</v>
      </c>
      <c r="H43" s="883"/>
    </row>
    <row r="44" spans="1:13">
      <c r="A44" s="862" t="s">
        <v>1581</v>
      </c>
      <c r="B44" s="904" t="s">
        <v>1640</v>
      </c>
      <c r="C44" s="888">
        <v>1</v>
      </c>
      <c r="D44" s="865" t="s">
        <v>245</v>
      </c>
      <c r="E44" s="883"/>
      <c r="F44" s="889">
        <f>BDI!$E$35</f>
        <v>0.14012827909185233</v>
      </c>
      <c r="G44" s="883">
        <f>ROUND(E44*F44,2)</f>
        <v>0</v>
      </c>
      <c r="H44" s="883"/>
    </row>
    <row r="45" spans="1:13">
      <c r="A45" s="862" t="s">
        <v>1582</v>
      </c>
      <c r="B45" s="904" t="s">
        <v>1641</v>
      </c>
      <c r="C45" s="888">
        <v>1</v>
      </c>
      <c r="D45" s="865" t="s">
        <v>245</v>
      </c>
      <c r="E45" s="883"/>
      <c r="F45" s="889">
        <f>BDI!$E$35</f>
        <v>0.14012827909185233</v>
      </c>
      <c r="G45" s="883">
        <f>ROUND(E45*F45,2)</f>
        <v>0</v>
      </c>
      <c r="H45" s="883"/>
    </row>
    <row r="46" spans="1:13" s="890" customFormat="1" ht="15">
      <c r="A46" s="876" t="s">
        <v>327</v>
      </c>
      <c r="B46" s="877" t="s">
        <v>1638</v>
      </c>
      <c r="C46" s="864"/>
      <c r="D46" s="865"/>
      <c r="E46" s="883"/>
      <c r="F46" s="879"/>
      <c r="G46" s="883"/>
      <c r="H46" s="866"/>
      <c r="M46" s="891"/>
    </row>
    <row r="47" spans="1:13" s="890" customFormat="1">
      <c r="A47" s="880" t="s">
        <v>1456</v>
      </c>
      <c r="B47" s="887" t="s">
        <v>1530</v>
      </c>
      <c r="C47" s="905">
        <v>3.5999999999999996</v>
      </c>
      <c r="D47" s="865" t="s">
        <v>17</v>
      </c>
      <c r="E47" s="883"/>
      <c r="F47" s="889">
        <v>0</v>
      </c>
      <c r="G47" s="883">
        <v>0</v>
      </c>
      <c r="H47" s="883"/>
      <c r="M47" s="891"/>
    </row>
    <row r="48" spans="1:13" s="890" customFormat="1" ht="28.5">
      <c r="A48" s="880" t="s">
        <v>1457</v>
      </c>
      <c r="B48" s="887" t="s">
        <v>1559</v>
      </c>
      <c r="C48" s="888">
        <v>40</v>
      </c>
      <c r="D48" s="865" t="s">
        <v>179</v>
      </c>
      <c r="E48" s="883"/>
      <c r="F48" s="889">
        <f>BDI!$E$19</f>
        <v>0.24117279049169804</v>
      </c>
      <c r="G48" s="883">
        <f t="shared" ref="G48" si="8">ROUND(E48*F48,2)</f>
        <v>0</v>
      </c>
      <c r="H48" s="883"/>
      <c r="M48" s="891"/>
    </row>
    <row r="49" spans="1:13" s="890" customFormat="1">
      <c r="A49" s="880" t="s">
        <v>1458</v>
      </c>
      <c r="B49" s="887" t="s">
        <v>1521</v>
      </c>
      <c r="C49" s="888">
        <v>2.8800000000000003</v>
      </c>
      <c r="D49" s="865" t="s">
        <v>18</v>
      </c>
      <c r="E49" s="883"/>
      <c r="F49" s="889">
        <v>0</v>
      </c>
      <c r="G49" s="883">
        <f t="shared" ref="G49:G52" si="9">ROUND(E49*F49,2)</f>
        <v>0</v>
      </c>
      <c r="H49" s="883"/>
      <c r="M49" s="891"/>
    </row>
    <row r="50" spans="1:13" s="890" customFormat="1">
      <c r="A50" s="880" t="s">
        <v>1459</v>
      </c>
      <c r="B50" s="887" t="s">
        <v>1527</v>
      </c>
      <c r="C50" s="888">
        <v>14.4</v>
      </c>
      <c r="D50" s="865" t="s">
        <v>18</v>
      </c>
      <c r="E50" s="883"/>
      <c r="F50" s="889">
        <v>0</v>
      </c>
      <c r="G50" s="883">
        <f t="shared" si="9"/>
        <v>0</v>
      </c>
      <c r="H50" s="883"/>
      <c r="M50" s="891"/>
    </row>
    <row r="51" spans="1:13" s="890" customFormat="1">
      <c r="A51" s="880" t="s">
        <v>1655</v>
      </c>
      <c r="B51" s="887" t="s">
        <v>1528</v>
      </c>
      <c r="C51" s="888">
        <v>0.97200000000000009</v>
      </c>
      <c r="D51" s="865" t="s">
        <v>18</v>
      </c>
      <c r="E51" s="883"/>
      <c r="F51" s="889">
        <v>0</v>
      </c>
      <c r="G51" s="883">
        <f t="shared" si="9"/>
        <v>0</v>
      </c>
      <c r="H51" s="883"/>
      <c r="M51" s="891"/>
    </row>
    <row r="52" spans="1:13">
      <c r="A52" s="880" t="s">
        <v>1656</v>
      </c>
      <c r="B52" s="887" t="s">
        <v>1546</v>
      </c>
      <c r="C52" s="888">
        <v>3.5999999999999996</v>
      </c>
      <c r="D52" s="865" t="s">
        <v>17</v>
      </c>
      <c r="E52" s="883"/>
      <c r="F52" s="889">
        <v>0</v>
      </c>
      <c r="G52" s="883">
        <f t="shared" si="9"/>
        <v>0</v>
      </c>
      <c r="H52" s="883"/>
    </row>
    <row r="53" spans="1:13" s="906" customFormat="1" ht="15">
      <c r="A53" s="876" t="s">
        <v>357</v>
      </c>
      <c r="B53" s="897" t="s">
        <v>1583</v>
      </c>
      <c r="C53" s="864"/>
      <c r="D53" s="865"/>
      <c r="E53" s="883"/>
      <c r="F53" s="879"/>
      <c r="G53" s="883"/>
      <c r="H53" s="866"/>
      <c r="M53" s="907"/>
    </row>
    <row r="54" spans="1:13">
      <c r="A54" s="862" t="s">
        <v>1460</v>
      </c>
      <c r="B54" s="904" t="s">
        <v>1550</v>
      </c>
      <c r="C54" s="888">
        <v>20</v>
      </c>
      <c r="D54" s="865" t="s">
        <v>108</v>
      </c>
      <c r="E54" s="883"/>
      <c r="F54" s="889">
        <f>BDI!$E$19</f>
        <v>0.24117279049169804</v>
      </c>
      <c r="G54" s="883">
        <f t="shared" ref="G54:G56" si="10">ROUND(E54*F54,2)</f>
        <v>0</v>
      </c>
      <c r="H54" s="883"/>
    </row>
    <row r="55" spans="1:13">
      <c r="A55" s="862" t="s">
        <v>1461</v>
      </c>
      <c r="B55" s="904" t="s">
        <v>1531</v>
      </c>
      <c r="C55" s="888">
        <v>40</v>
      </c>
      <c r="D55" s="865" t="s">
        <v>108</v>
      </c>
      <c r="E55" s="883"/>
      <c r="F55" s="889">
        <v>0</v>
      </c>
      <c r="G55" s="883">
        <f t="shared" si="10"/>
        <v>0</v>
      </c>
      <c r="H55" s="883"/>
    </row>
    <row r="56" spans="1:13">
      <c r="A56" s="862" t="s">
        <v>1462</v>
      </c>
      <c r="B56" s="904" t="s">
        <v>1532</v>
      </c>
      <c r="C56" s="888">
        <v>80</v>
      </c>
      <c r="D56" s="865" t="s">
        <v>108</v>
      </c>
      <c r="E56" s="883"/>
      <c r="F56" s="889">
        <f>BDI!$E$19</f>
        <v>0.24117279049169804</v>
      </c>
      <c r="G56" s="883">
        <f t="shared" si="10"/>
        <v>0</v>
      </c>
      <c r="H56" s="883"/>
    </row>
    <row r="57" spans="1:13" ht="15">
      <c r="A57" s="876" t="s">
        <v>360</v>
      </c>
      <c r="B57" s="877" t="s">
        <v>1610</v>
      </c>
      <c r="C57" s="882"/>
      <c r="D57" s="886"/>
      <c r="E57" s="883"/>
      <c r="F57" s="894"/>
      <c r="G57" s="883"/>
      <c r="H57" s="896"/>
      <c r="J57" s="900"/>
    </row>
    <row r="58" spans="1:13">
      <c r="A58" s="862" t="s">
        <v>1589</v>
      </c>
      <c r="B58" s="904" t="s">
        <v>1530</v>
      </c>
      <c r="C58" s="888">
        <v>12</v>
      </c>
      <c r="D58" s="865" t="s">
        <v>17</v>
      </c>
      <c r="E58" s="883"/>
      <c r="F58" s="889">
        <v>0</v>
      </c>
      <c r="G58" s="883">
        <f t="shared" ref="G58:G63" si="11">ROUND(E58*F58,2)</f>
        <v>0</v>
      </c>
      <c r="H58" s="883"/>
    </row>
    <row r="59" spans="1:13" ht="28.5">
      <c r="A59" s="862" t="s">
        <v>1643</v>
      </c>
      <c r="B59" s="887" t="s">
        <v>1559</v>
      </c>
      <c r="C59" s="888">
        <v>40</v>
      </c>
      <c r="D59" s="865" t="s">
        <v>179</v>
      </c>
      <c r="E59" s="883"/>
      <c r="F59" s="889">
        <f>BDI!$E$19</f>
        <v>0.24117279049169804</v>
      </c>
      <c r="G59" s="883">
        <f t="shared" si="11"/>
        <v>0</v>
      </c>
      <c r="H59" s="883"/>
    </row>
    <row r="60" spans="1:13">
      <c r="A60" s="862" t="s">
        <v>1644</v>
      </c>
      <c r="B60" s="887" t="str">
        <f>+B49</f>
        <v>Lastro de areia (e=20cm) para envoltória</v>
      </c>
      <c r="C60" s="888">
        <v>1.9200000000000004</v>
      </c>
      <c r="D60" s="865" t="s">
        <v>18</v>
      </c>
      <c r="E60" s="883"/>
      <c r="F60" s="884">
        <v>0</v>
      </c>
      <c r="G60" s="883">
        <f>ROUND(E60*F60,2)</f>
        <v>0</v>
      </c>
      <c r="H60" s="883"/>
    </row>
    <row r="61" spans="1:13">
      <c r="A61" s="862" t="s">
        <v>1645</v>
      </c>
      <c r="B61" s="887" t="str">
        <f>+B50</f>
        <v>Aterro de valas, poços e cavas compactado mecanicamente, sem controle do G.C.</v>
      </c>
      <c r="C61" s="888">
        <v>9.6000000000000014</v>
      </c>
      <c r="D61" s="865" t="s">
        <v>18</v>
      </c>
      <c r="E61" s="883"/>
      <c r="F61" s="884">
        <v>0</v>
      </c>
      <c r="G61" s="883">
        <f>ROUND(E61*F61,2)</f>
        <v>0</v>
      </c>
      <c r="H61" s="883"/>
    </row>
    <row r="62" spans="1:13">
      <c r="A62" s="862" t="s">
        <v>1646</v>
      </c>
      <c r="B62" s="887" t="s">
        <v>1528</v>
      </c>
      <c r="C62" s="888">
        <v>1.3200000000000003</v>
      </c>
      <c r="D62" s="865" t="s">
        <v>18</v>
      </c>
      <c r="E62" s="883"/>
      <c r="F62" s="884">
        <v>0</v>
      </c>
      <c r="G62" s="883">
        <f t="shared" si="11"/>
        <v>0</v>
      </c>
      <c r="H62" s="883"/>
    </row>
    <row r="63" spans="1:13">
      <c r="A63" s="862" t="s">
        <v>1647</v>
      </c>
      <c r="B63" s="887" t="str">
        <f>+B52</f>
        <v>Execução de passeio cimentado e=7cm (área de implantação do reservatório)</v>
      </c>
      <c r="C63" s="888">
        <v>12</v>
      </c>
      <c r="D63" s="865" t="s">
        <v>17</v>
      </c>
      <c r="E63" s="883"/>
      <c r="F63" s="884">
        <v>0</v>
      </c>
      <c r="G63" s="883">
        <f t="shared" si="11"/>
        <v>0</v>
      </c>
      <c r="H63" s="883"/>
    </row>
    <row r="64" spans="1:13" s="906" customFormat="1" ht="15">
      <c r="A64" s="876" t="s">
        <v>361</v>
      </c>
      <c r="B64" s="877" t="s">
        <v>1584</v>
      </c>
      <c r="C64" s="864"/>
      <c r="D64" s="865"/>
      <c r="E64" s="883"/>
      <c r="F64" s="879"/>
      <c r="G64" s="883"/>
      <c r="H64" s="866"/>
      <c r="M64" s="907"/>
    </row>
    <row r="65" spans="1:13">
      <c r="A65" s="862" t="s">
        <v>1648</v>
      </c>
      <c r="B65" s="904" t="s">
        <v>1550</v>
      </c>
      <c r="C65" s="888">
        <v>20</v>
      </c>
      <c r="D65" s="865" t="s">
        <v>108</v>
      </c>
      <c r="E65" s="883"/>
      <c r="F65" s="889">
        <f>BDI!$E$19</f>
        <v>0.24117279049169804</v>
      </c>
      <c r="G65" s="883">
        <f t="shared" ref="G65:G68" si="12">ROUND(E65*F65,2)</f>
        <v>0</v>
      </c>
      <c r="H65" s="883"/>
    </row>
    <row r="66" spans="1:13">
      <c r="A66" s="862" t="s">
        <v>1649</v>
      </c>
      <c r="B66" s="904" t="s">
        <v>1531</v>
      </c>
      <c r="C66" s="888">
        <v>40</v>
      </c>
      <c r="D66" s="865" t="s">
        <v>108</v>
      </c>
      <c r="E66" s="883"/>
      <c r="F66" s="889">
        <v>0</v>
      </c>
      <c r="G66" s="883">
        <f t="shared" si="12"/>
        <v>0</v>
      </c>
      <c r="H66" s="883"/>
    </row>
    <row r="67" spans="1:13">
      <c r="A67" s="862" t="s">
        <v>1650</v>
      </c>
      <c r="B67" s="904" t="s">
        <v>1532</v>
      </c>
      <c r="C67" s="888">
        <v>40</v>
      </c>
      <c r="D67" s="865" t="s">
        <v>108</v>
      </c>
      <c r="E67" s="883"/>
      <c r="F67" s="889">
        <f>BDI!$E$19</f>
        <v>0.24117279049169804</v>
      </c>
      <c r="G67" s="883">
        <f t="shared" si="12"/>
        <v>0</v>
      </c>
      <c r="H67" s="883"/>
    </row>
    <row r="68" spans="1:13" ht="28.5">
      <c r="A68" s="862" t="s">
        <v>1681</v>
      </c>
      <c r="B68" s="904" t="s">
        <v>1687</v>
      </c>
      <c r="C68" s="888">
        <v>20</v>
      </c>
      <c r="D68" s="865" t="s">
        <v>108</v>
      </c>
      <c r="E68" s="883"/>
      <c r="F68" s="889">
        <f>BDI!$E$19</f>
        <v>0.24117279049169804</v>
      </c>
      <c r="G68" s="883">
        <f t="shared" si="12"/>
        <v>0</v>
      </c>
      <c r="H68" s="883"/>
    </row>
    <row r="69" spans="1:13" s="906" customFormat="1" ht="15">
      <c r="A69" s="876" t="s">
        <v>362</v>
      </c>
      <c r="B69" s="877" t="s">
        <v>1592</v>
      </c>
      <c r="C69" s="864"/>
      <c r="D69" s="865"/>
      <c r="E69" s="883"/>
      <c r="F69" s="879"/>
      <c r="G69" s="883"/>
      <c r="H69" s="866"/>
      <c r="M69" s="907"/>
    </row>
    <row r="70" spans="1:13">
      <c r="A70" s="862" t="s">
        <v>1651</v>
      </c>
      <c r="B70" s="904" t="s">
        <v>1550</v>
      </c>
      <c r="C70" s="888">
        <v>20</v>
      </c>
      <c r="D70" s="865" t="s">
        <v>108</v>
      </c>
      <c r="E70" s="883"/>
      <c r="F70" s="889">
        <f>BDI!$E$19</f>
        <v>0.24117279049169804</v>
      </c>
      <c r="G70" s="883">
        <f t="shared" ref="G70:G75" si="13">ROUND(E70*F70,2)</f>
        <v>0</v>
      </c>
      <c r="H70" s="883"/>
    </row>
    <row r="71" spans="1:13">
      <c r="A71" s="862" t="s">
        <v>1652</v>
      </c>
      <c r="B71" s="904" t="s">
        <v>1531</v>
      </c>
      <c r="C71" s="888">
        <v>40</v>
      </c>
      <c r="D71" s="865" t="s">
        <v>108</v>
      </c>
      <c r="E71" s="883"/>
      <c r="F71" s="889">
        <v>0</v>
      </c>
      <c r="G71" s="883">
        <f t="shared" si="13"/>
        <v>0</v>
      </c>
      <c r="H71" s="883"/>
    </row>
    <row r="72" spans="1:13">
      <c r="A72" s="862" t="s">
        <v>1653</v>
      </c>
      <c r="B72" s="904" t="s">
        <v>1532</v>
      </c>
      <c r="C72" s="888">
        <v>80</v>
      </c>
      <c r="D72" s="865" t="s">
        <v>108</v>
      </c>
      <c r="E72" s="883"/>
      <c r="F72" s="889">
        <f>BDI!$E$19</f>
        <v>0.24117279049169804</v>
      </c>
      <c r="G72" s="883">
        <f t="shared" si="13"/>
        <v>0</v>
      </c>
      <c r="H72" s="883"/>
    </row>
    <row r="73" spans="1:13" ht="28.5">
      <c r="A73" s="862" t="s">
        <v>1681</v>
      </c>
      <c r="B73" s="904" t="s">
        <v>1687</v>
      </c>
      <c r="C73" s="888">
        <v>10</v>
      </c>
      <c r="D73" s="865" t="s">
        <v>108</v>
      </c>
      <c r="E73" s="883"/>
      <c r="F73" s="889">
        <f>BDI!$E$19</f>
        <v>0.24117279049169804</v>
      </c>
      <c r="G73" s="883">
        <f t="shared" ref="G73" si="14">ROUND(E73*F73,2)</f>
        <v>0</v>
      </c>
      <c r="H73" s="883"/>
    </row>
    <row r="74" spans="1:13" ht="15">
      <c r="A74" s="876" t="s">
        <v>363</v>
      </c>
      <c r="B74" s="908" t="s">
        <v>1591</v>
      </c>
      <c r="C74" s="888"/>
      <c r="D74" s="865"/>
      <c r="E74" s="883"/>
      <c r="F74" s="889"/>
      <c r="G74" s="883"/>
      <c r="H74" s="883"/>
    </row>
    <row r="75" spans="1:13">
      <c r="A75" s="862" t="s">
        <v>1654</v>
      </c>
      <c r="B75" s="904" t="s">
        <v>1590</v>
      </c>
      <c r="C75" s="888">
        <v>1</v>
      </c>
      <c r="D75" s="865" t="s">
        <v>1597</v>
      </c>
      <c r="E75" s="883"/>
      <c r="F75" s="884">
        <v>0</v>
      </c>
      <c r="G75" s="883">
        <f t="shared" si="13"/>
        <v>0</v>
      </c>
      <c r="H75" s="883"/>
    </row>
    <row r="76" spans="1:13" s="911" customFormat="1" ht="20.25" customHeight="1">
      <c r="A76" s="876" t="s">
        <v>364</v>
      </c>
      <c r="B76" s="877" t="s">
        <v>1718</v>
      </c>
      <c r="C76" s="864"/>
      <c r="D76" s="865"/>
      <c r="E76" s="883"/>
      <c r="F76" s="879"/>
      <c r="G76" s="883"/>
      <c r="H76" s="866"/>
      <c r="M76" s="912"/>
    </row>
    <row r="77" spans="1:13" s="911" customFormat="1">
      <c r="A77" s="880" t="s">
        <v>1706</v>
      </c>
      <c r="B77" s="881" t="s">
        <v>1696</v>
      </c>
      <c r="C77" s="864">
        <v>1</v>
      </c>
      <c r="D77" s="865" t="s">
        <v>1597</v>
      </c>
      <c r="E77" s="883"/>
      <c r="F77" s="889">
        <f>[16]BDI!$E$36</f>
        <v>0.13804846634146339</v>
      </c>
      <c r="G77" s="883">
        <f t="shared" ref="G77:G81" si="15">ROUND(E77*F77,2)</f>
        <v>0</v>
      </c>
      <c r="H77" s="883"/>
      <c r="M77" s="912"/>
    </row>
    <row r="78" spans="1:13" s="911" customFormat="1">
      <c r="A78" s="880" t="s">
        <v>1707</v>
      </c>
      <c r="B78" s="881" t="s">
        <v>1697</v>
      </c>
      <c r="C78" s="864">
        <v>2</v>
      </c>
      <c r="D78" s="865" t="s">
        <v>1597</v>
      </c>
      <c r="E78" s="883"/>
      <c r="F78" s="889">
        <f>F73</f>
        <v>0.24117279049169804</v>
      </c>
      <c r="G78" s="883">
        <f t="shared" si="15"/>
        <v>0</v>
      </c>
      <c r="H78" s="883"/>
      <c r="M78" s="912"/>
    </row>
    <row r="79" spans="1:13" s="911" customFormat="1">
      <c r="A79" s="880" t="s">
        <v>1708</v>
      </c>
      <c r="B79" s="881" t="s">
        <v>1698</v>
      </c>
      <c r="C79" s="864">
        <v>2</v>
      </c>
      <c r="D79" s="865" t="s">
        <v>1597</v>
      </c>
      <c r="E79" s="883"/>
      <c r="F79" s="889">
        <f>+F78</f>
        <v>0.24117279049169804</v>
      </c>
      <c r="G79" s="883">
        <f t="shared" si="15"/>
        <v>0</v>
      </c>
      <c r="H79" s="883"/>
      <c r="M79" s="912"/>
    </row>
    <row r="80" spans="1:13" s="911" customFormat="1">
      <c r="A80" s="880" t="s">
        <v>1724</v>
      </c>
      <c r="B80" s="887" t="s">
        <v>1702</v>
      </c>
      <c r="C80" s="864">
        <v>1</v>
      </c>
      <c r="D80" s="865" t="s">
        <v>1597</v>
      </c>
      <c r="E80" s="883"/>
      <c r="F80" s="889">
        <f>BDI!$E$19</f>
        <v>0.24117279049169804</v>
      </c>
      <c r="G80" s="883">
        <f t="shared" si="15"/>
        <v>0</v>
      </c>
      <c r="H80" s="883"/>
      <c r="M80" s="912"/>
    </row>
    <row r="81" spans="1:13" s="911" customFormat="1">
      <c r="A81" s="880" t="s">
        <v>1725</v>
      </c>
      <c r="B81" s="887" t="s">
        <v>1703</v>
      </c>
      <c r="C81" s="864">
        <v>1</v>
      </c>
      <c r="D81" s="865" t="s">
        <v>1597</v>
      </c>
      <c r="E81" s="883"/>
      <c r="F81" s="889">
        <f>BDI!$E$19</f>
        <v>0.24117279049169804</v>
      </c>
      <c r="G81" s="883">
        <f t="shared" si="15"/>
        <v>0</v>
      </c>
      <c r="H81" s="883"/>
      <c r="M81" s="912"/>
    </row>
    <row r="82" spans="1:13" s="911" customFormat="1" ht="15">
      <c r="A82" s="876" t="s">
        <v>365</v>
      </c>
      <c r="B82" s="877" t="s">
        <v>1720</v>
      </c>
      <c r="C82" s="864"/>
      <c r="D82" s="865"/>
      <c r="E82" s="883"/>
      <c r="F82" s="879"/>
      <c r="G82" s="883"/>
      <c r="H82" s="866"/>
      <c r="M82" s="912"/>
    </row>
    <row r="83" spans="1:13" s="911" customFormat="1">
      <c r="A83" s="880" t="s">
        <v>1709</v>
      </c>
      <c r="B83" s="887" t="s">
        <v>1695</v>
      </c>
      <c r="C83" s="864">
        <v>4</v>
      </c>
      <c r="D83" s="865" t="s">
        <v>108</v>
      </c>
      <c r="E83" s="883"/>
      <c r="F83" s="889">
        <f>BDI!E19</f>
        <v>0.24117279049169804</v>
      </c>
      <c r="G83" s="883">
        <f t="shared" ref="G83:G86" si="16">ROUND(E83*F83,2)</f>
        <v>0</v>
      </c>
      <c r="H83" s="883"/>
      <c r="M83" s="912"/>
    </row>
    <row r="84" spans="1:13" s="911" customFormat="1">
      <c r="A84" s="880" t="s">
        <v>1711</v>
      </c>
      <c r="B84" s="887" t="s">
        <v>1701</v>
      </c>
      <c r="C84" s="864">
        <v>8</v>
      </c>
      <c r="D84" s="865" t="s">
        <v>108</v>
      </c>
      <c r="E84" s="883"/>
      <c r="F84" s="889">
        <f>BDI!E19</f>
        <v>0.24117279049169804</v>
      </c>
      <c r="G84" s="883">
        <f t="shared" si="16"/>
        <v>0</v>
      </c>
      <c r="H84" s="883"/>
      <c r="M84" s="912"/>
    </row>
    <row r="85" spans="1:13" s="911" customFormat="1">
      <c r="A85" s="880" t="s">
        <v>1712</v>
      </c>
      <c r="B85" s="904" t="s">
        <v>1700</v>
      </c>
      <c r="C85" s="888">
        <v>8</v>
      </c>
      <c r="D85" s="865" t="s">
        <v>108</v>
      </c>
      <c r="E85" s="883"/>
      <c r="F85" s="889">
        <v>0</v>
      </c>
      <c r="G85" s="883">
        <f t="shared" si="16"/>
        <v>0</v>
      </c>
      <c r="H85" s="883"/>
      <c r="M85" s="912"/>
    </row>
    <row r="86" spans="1:13" s="911" customFormat="1">
      <c r="A86" s="880" t="s">
        <v>1710</v>
      </c>
      <c r="B86" s="904" t="s">
        <v>1699</v>
      </c>
      <c r="C86" s="888">
        <v>16</v>
      </c>
      <c r="D86" s="865" t="s">
        <v>108</v>
      </c>
      <c r="E86" s="883"/>
      <c r="F86" s="889">
        <f>BDI!$E$19</f>
        <v>0.24117279049169804</v>
      </c>
      <c r="G86" s="883">
        <f t="shared" si="16"/>
        <v>0</v>
      </c>
      <c r="H86" s="883"/>
      <c r="M86" s="912"/>
    </row>
    <row r="87" spans="1:13" s="911" customFormat="1" ht="15">
      <c r="A87" s="876" t="s">
        <v>1100</v>
      </c>
      <c r="B87" s="877" t="s">
        <v>1719</v>
      </c>
      <c r="C87" s="864"/>
      <c r="D87" s="865"/>
      <c r="E87" s="883"/>
      <c r="F87" s="889"/>
      <c r="G87" s="883"/>
      <c r="H87" s="866"/>
      <c r="M87" s="912"/>
    </row>
    <row r="88" spans="1:13" s="911" customFormat="1">
      <c r="A88" s="880" t="s">
        <v>1713</v>
      </c>
      <c r="B88" s="887" t="s">
        <v>1705</v>
      </c>
      <c r="C88" s="864">
        <v>4</v>
      </c>
      <c r="D88" s="865" t="s">
        <v>108</v>
      </c>
      <c r="E88" s="883"/>
      <c r="F88" s="889">
        <f>BDI!$E$19</f>
        <v>0.24117279049169804</v>
      </c>
      <c r="G88" s="883">
        <f t="shared" ref="G88:G90" si="17">ROUND(E88*F88,2)</f>
        <v>0</v>
      </c>
      <c r="H88" s="883"/>
      <c r="M88" s="912"/>
    </row>
    <row r="89" spans="1:13" s="911" customFormat="1">
      <c r="A89" s="880" t="s">
        <v>1714</v>
      </c>
      <c r="B89" s="887" t="s">
        <v>1723</v>
      </c>
      <c r="C89" s="864">
        <v>16</v>
      </c>
      <c r="D89" s="865" t="s">
        <v>108</v>
      </c>
      <c r="E89" s="883"/>
      <c r="F89" s="889">
        <f>BDI!$E$19</f>
        <v>0.24117279049169804</v>
      </c>
      <c r="G89" s="883">
        <f t="shared" si="17"/>
        <v>0</v>
      </c>
      <c r="H89" s="883"/>
      <c r="M89" s="912"/>
    </row>
    <row r="90" spans="1:13" s="911" customFormat="1">
      <c r="A90" s="880" t="s">
        <v>1715</v>
      </c>
      <c r="B90" s="887" t="s">
        <v>1704</v>
      </c>
      <c r="C90" s="864">
        <v>16</v>
      </c>
      <c r="D90" s="865" t="s">
        <v>108</v>
      </c>
      <c r="E90" s="883"/>
      <c r="F90" s="889">
        <f>BDI!$E$19</f>
        <v>0.24117279049169804</v>
      </c>
      <c r="G90" s="883">
        <f t="shared" si="17"/>
        <v>0</v>
      </c>
      <c r="H90" s="883"/>
      <c r="M90" s="912"/>
    </row>
    <row r="91" spans="1:13" ht="15">
      <c r="A91" s="892"/>
      <c r="B91" s="893" t="s">
        <v>1609</v>
      </c>
      <c r="C91" s="882"/>
      <c r="D91" s="886"/>
      <c r="E91" s="883"/>
      <c r="F91" s="894"/>
      <c r="G91" s="883"/>
      <c r="H91" s="896"/>
      <c r="J91" s="900"/>
    </row>
    <row r="92" spans="1:13" ht="15">
      <c r="A92" s="876">
        <v>4</v>
      </c>
      <c r="B92" s="877" t="s">
        <v>1596</v>
      </c>
      <c r="C92" s="864"/>
      <c r="D92" s="865"/>
      <c r="E92" s="883"/>
      <c r="F92" s="879"/>
      <c r="G92" s="883"/>
      <c r="H92" s="866"/>
    </row>
    <row r="93" spans="1:13" ht="28.5">
      <c r="A93" s="880" t="s">
        <v>203</v>
      </c>
      <c r="B93" s="887" t="s">
        <v>1685</v>
      </c>
      <c r="C93" s="882">
        <v>1</v>
      </c>
      <c r="D93" s="886" t="s">
        <v>1597</v>
      </c>
      <c r="E93" s="883"/>
      <c r="F93" s="884">
        <f>BDI!$E$19</f>
        <v>0.24117279049169804</v>
      </c>
      <c r="G93" s="883">
        <f t="shared" ref="G93:G95" si="18">ROUND(E93*F93,2)</f>
        <v>0</v>
      </c>
      <c r="H93" s="883"/>
    </row>
    <row r="94" spans="1:13" ht="19.5" customHeight="1">
      <c r="A94" s="880" t="s">
        <v>204</v>
      </c>
      <c r="B94" s="887" t="s">
        <v>1593</v>
      </c>
      <c r="C94" s="882">
        <v>1</v>
      </c>
      <c r="D94" s="886" t="s">
        <v>1597</v>
      </c>
      <c r="E94" s="883"/>
      <c r="F94" s="889">
        <f>BDI!$E$35</f>
        <v>0.14012827909185233</v>
      </c>
      <c r="G94" s="883">
        <f t="shared" si="18"/>
        <v>0</v>
      </c>
      <c r="H94" s="883"/>
    </row>
    <row r="95" spans="1:13">
      <c r="A95" s="880" t="s">
        <v>206</v>
      </c>
      <c r="B95" s="887" t="s">
        <v>1594</v>
      </c>
      <c r="C95" s="882">
        <v>1</v>
      </c>
      <c r="D95" s="886" t="s">
        <v>1597</v>
      </c>
      <c r="E95" s="883"/>
      <c r="F95" s="884">
        <f>BDI!$E$19</f>
        <v>0.24117279049169804</v>
      </c>
      <c r="G95" s="883">
        <f t="shared" si="18"/>
        <v>0</v>
      </c>
      <c r="H95" s="883"/>
    </row>
    <row r="96" spans="1:13" ht="15">
      <c r="A96" s="892"/>
      <c r="B96" s="893" t="s">
        <v>1587</v>
      </c>
      <c r="C96" s="882"/>
      <c r="D96" s="886"/>
      <c r="E96" s="883"/>
      <c r="F96" s="894"/>
      <c r="G96" s="883"/>
      <c r="H96" s="896"/>
    </row>
    <row r="97" spans="1:13" s="911" customFormat="1" ht="30">
      <c r="A97" s="876">
        <v>5</v>
      </c>
      <c r="B97" s="909" t="s">
        <v>1606</v>
      </c>
      <c r="C97" s="864"/>
      <c r="D97" s="865"/>
      <c r="E97" s="883"/>
      <c r="F97" s="879"/>
      <c r="G97" s="883"/>
      <c r="H97" s="866"/>
      <c r="I97" s="910"/>
      <c r="M97" s="912"/>
    </row>
    <row r="98" spans="1:13" s="911" customFormat="1" ht="28.5">
      <c r="A98" s="880" t="s">
        <v>247</v>
      </c>
      <c r="B98" s="887" t="s">
        <v>1607</v>
      </c>
      <c r="C98" s="913">
        <v>1</v>
      </c>
      <c r="D98" s="865" t="s">
        <v>1597</v>
      </c>
      <c r="E98" s="883"/>
      <c r="F98" s="889">
        <f>BDI!E35</f>
        <v>0.14012827909185233</v>
      </c>
      <c r="G98" s="883">
        <f t="shared" ref="G98:G99" si="19">ROUND(E98*F98,2)</f>
        <v>0</v>
      </c>
      <c r="H98" s="883"/>
      <c r="M98" s="912"/>
    </row>
    <row r="99" spans="1:13" s="911" customFormat="1" ht="21.75" customHeight="1">
      <c r="A99" s="880" t="s">
        <v>248</v>
      </c>
      <c r="B99" s="887" t="s">
        <v>1608</v>
      </c>
      <c r="C99" s="913">
        <v>1</v>
      </c>
      <c r="D99" s="865" t="s">
        <v>1597</v>
      </c>
      <c r="E99" s="883"/>
      <c r="F99" s="889">
        <f>BDI!E35</f>
        <v>0.14012827909185233</v>
      </c>
      <c r="G99" s="883">
        <f t="shared" si="19"/>
        <v>0</v>
      </c>
      <c r="H99" s="883"/>
      <c r="M99" s="912"/>
    </row>
    <row r="100" spans="1:13" s="911" customFormat="1" ht="15">
      <c r="A100" s="880"/>
      <c r="B100" s="914" t="s">
        <v>1588</v>
      </c>
      <c r="C100" s="864"/>
      <c r="D100" s="865"/>
      <c r="E100" s="878"/>
      <c r="F100" s="879"/>
      <c r="G100" s="878"/>
      <c r="H100" s="896"/>
      <c r="M100" s="912"/>
    </row>
    <row r="101" spans="1:13" ht="24.75" customHeight="1" thickBot="1">
      <c r="A101" s="972" t="s">
        <v>328</v>
      </c>
      <c r="B101" s="1251"/>
      <c r="C101" s="1251"/>
      <c r="D101" s="1251"/>
      <c r="E101" s="1251"/>
      <c r="F101" s="1251"/>
      <c r="G101" s="1251"/>
      <c r="H101" s="867"/>
      <c r="J101" s="868"/>
    </row>
    <row r="102" spans="1:13" ht="20.25" customHeight="1" thickTop="1">
      <c r="A102" s="1252" t="s">
        <v>1727</v>
      </c>
      <c r="B102" s="1252"/>
      <c r="C102" s="1252"/>
      <c r="D102" s="1252"/>
      <c r="E102" s="1252"/>
      <c r="F102" s="1252"/>
      <c r="G102" s="1252"/>
      <c r="H102" s="1252"/>
    </row>
    <row r="103" spans="1:13" ht="15" hidden="1">
      <c r="A103" s="869"/>
      <c r="B103" s="770"/>
      <c r="E103" s="870"/>
    </row>
    <row r="104" spans="1:13" ht="15" hidden="1">
      <c r="A104" s="869"/>
      <c r="B104" s="770"/>
      <c r="E104" s="870"/>
    </row>
    <row r="105" spans="1:13" ht="15">
      <c r="A105" s="869"/>
      <c r="B105" s="770" t="s">
        <v>1728</v>
      </c>
      <c r="E105" s="870"/>
    </row>
    <row r="106" spans="1:13" ht="15">
      <c r="A106" s="869"/>
      <c r="B106" s="770"/>
      <c r="E106" s="870"/>
    </row>
    <row r="107" spans="1:13" ht="15">
      <c r="A107" s="869"/>
      <c r="B107" s="770"/>
      <c r="E107" s="870"/>
    </row>
    <row r="108" spans="1:13" ht="15">
      <c r="A108" s="869"/>
      <c r="B108" s="770"/>
      <c r="E108" s="870"/>
    </row>
    <row r="109" spans="1:13" ht="15">
      <c r="A109" s="869"/>
      <c r="B109" s="837" t="s">
        <v>1689</v>
      </c>
      <c r="E109" s="870"/>
    </row>
    <row r="110" spans="1:13" ht="15">
      <c r="A110" s="869"/>
      <c r="B110" s="838" t="s">
        <v>1690</v>
      </c>
      <c r="E110" s="870"/>
    </row>
    <row r="111" spans="1:13" ht="15">
      <c r="A111" s="872"/>
      <c r="B111" s="838" t="s">
        <v>1691</v>
      </c>
      <c r="D111" s="856"/>
      <c r="E111" s="856"/>
      <c r="F111" s="856"/>
      <c r="G111" s="856"/>
      <c r="H111" s="856"/>
      <c r="M111" s="856"/>
    </row>
    <row r="112" spans="1:13" ht="15">
      <c r="A112" s="872"/>
      <c r="B112" s="873"/>
      <c r="D112" s="856"/>
      <c r="E112" s="856"/>
      <c r="F112" s="856"/>
      <c r="G112" s="856"/>
      <c r="H112" s="856"/>
      <c r="M112" s="856"/>
    </row>
    <row r="113" spans="1:13" ht="15">
      <c r="A113" s="872"/>
      <c r="B113" s="873"/>
      <c r="D113" s="856"/>
      <c r="E113" s="856"/>
      <c r="F113" s="856"/>
      <c r="G113" s="856"/>
      <c r="H113" s="856"/>
      <c r="M113" s="856"/>
    </row>
    <row r="114" spans="1:13" ht="15">
      <c r="A114" s="872"/>
      <c r="B114" s="873"/>
      <c r="D114" s="856"/>
      <c r="E114" s="856"/>
      <c r="F114" s="856"/>
      <c r="G114" s="856"/>
      <c r="H114" s="856"/>
      <c r="M114" s="856"/>
    </row>
  </sheetData>
  <autoFilter ref="A5:H96">
    <filterColumn colId="5" showButton="0"/>
  </autoFilter>
  <mergeCells count="13">
    <mergeCell ref="A101:G101"/>
    <mergeCell ref="A102:H102"/>
    <mergeCell ref="A1:H1"/>
    <mergeCell ref="A2:H2"/>
    <mergeCell ref="B3:H3"/>
    <mergeCell ref="B4:H4"/>
    <mergeCell ref="A5:A6"/>
    <mergeCell ref="B5:B6"/>
    <mergeCell ref="C5:C6"/>
    <mergeCell ref="D5:D6"/>
    <mergeCell ref="E5:E6"/>
    <mergeCell ref="F5:G5"/>
    <mergeCell ref="H5:H6"/>
  </mergeCells>
  <phoneticPr fontId="44" type="noConversion"/>
  <conditionalFormatting sqref="A54:A56 A58:A63 A65:A68 A70:A75 A7:B7 A14:B15 A18:B18 A41:B46 A53:B53 A57:B57 A64:B64 A69:B69 A76:B76 A82:B82 A87:B87 A92:B92 A97:B97">
    <cfRule type="containsBlanks" dxfId="1" priority="7" stopIfTrue="1">
      <formula>LEN(TRIM(A7))=0</formula>
    </cfRule>
  </conditionalFormatting>
  <conditionalFormatting sqref="I97">
    <cfRule type="containsBlanks" dxfId="0" priority="58" stopIfTrue="1">
      <formula>LEN(TRIM(I97))=0</formula>
    </cfRule>
  </conditionalFormatting>
  <printOptions horizontalCentered="1"/>
  <pageMargins left="0.59055118110236227" right="0.59055118110236227" top="0.39370078740157483" bottom="0.59055118110236227" header="0" footer="0"/>
  <pageSetup paperSize="9" scale="63" fitToHeight="0" orientation="landscape" r:id="rId1"/>
  <headerFooter>
    <oddFooter>&amp;RPágina &amp;P</oddFooter>
  </headerFooter>
  <rowBreaks count="2" manualBreakCount="2">
    <brk id="34" max="9" man="1"/>
    <brk id="75" max="9" man="1"/>
  </rowBreaks>
  <drawing r:id="rId2"/>
  <legacyDrawing r:id="rId3"/>
</worksheet>
</file>

<file path=xl/worksheets/sheet8.xml><?xml version="1.0" encoding="utf-8"?>
<worksheet xmlns="http://schemas.openxmlformats.org/spreadsheetml/2006/main" xmlns:r="http://schemas.openxmlformats.org/officeDocument/2006/relationships">
  <sheetPr>
    <pageSetUpPr fitToPage="1"/>
  </sheetPr>
  <dimension ref="B1:X393"/>
  <sheetViews>
    <sheetView showGridLines="0" view="pageBreakPreview" topLeftCell="A234" zoomScale="115" zoomScaleNormal="100" zoomScaleSheetLayoutView="115" workbookViewId="0">
      <selection activeCell="G387" sqref="G387"/>
    </sheetView>
  </sheetViews>
  <sheetFormatPr defaultRowHeight="12.75"/>
  <cols>
    <col min="1" max="1" width="1.7109375" style="317" customWidth="1"/>
    <col min="2" max="2" width="2.28515625" style="317" customWidth="1"/>
    <col min="3" max="3" width="15.42578125" style="317" customWidth="1"/>
    <col min="4" max="4" width="10" style="317" customWidth="1"/>
    <col min="5" max="5" width="11.28515625" style="317" customWidth="1"/>
    <col min="6" max="6" width="8.140625" style="317" customWidth="1"/>
    <col min="7" max="7" width="16.140625" style="317" customWidth="1"/>
    <col min="8" max="8" width="6.42578125" style="317" customWidth="1"/>
    <col min="9" max="9" width="12" style="317" customWidth="1"/>
    <col min="10" max="10" width="11.85546875" style="317" customWidth="1"/>
    <col min="11" max="11" width="6.5703125" style="317" customWidth="1"/>
    <col min="12" max="12" width="14.85546875" style="317" customWidth="1"/>
    <col min="13" max="13" width="11.42578125" style="317" customWidth="1"/>
    <col min="14" max="14" width="10" style="317" customWidth="1"/>
    <col min="15" max="15" width="11.140625" style="317" customWidth="1"/>
    <col min="16" max="16" width="13.5703125" style="317" customWidth="1"/>
    <col min="17" max="17" width="14.42578125" style="317" customWidth="1"/>
    <col min="18" max="18" width="8.28515625" style="236" customWidth="1"/>
    <col min="19" max="19" width="7.42578125" style="236" customWidth="1"/>
    <col min="20" max="20" width="3" style="317" bestFit="1" customWidth="1"/>
    <col min="21" max="21" width="5.42578125" style="317" hidden="1" customWidth="1"/>
    <col min="22" max="22" width="8.7109375" style="317" hidden="1" customWidth="1"/>
    <col min="23" max="23" width="2.28515625" style="317" hidden="1" customWidth="1"/>
    <col min="24" max="24" width="2.7109375" style="317" hidden="1" customWidth="1"/>
    <col min="25" max="25" width="11" style="317" customWidth="1"/>
    <col min="26" max="16384" width="9.140625" style="317"/>
  </cols>
  <sheetData>
    <row r="1" spans="2:23" ht="18">
      <c r="B1" s="4" t="s">
        <v>26</v>
      </c>
      <c r="C1" s="13"/>
      <c r="D1" s="12"/>
      <c r="E1" s="1140"/>
      <c r="F1" s="1140"/>
      <c r="G1" s="1140"/>
      <c r="H1" s="1140"/>
      <c r="I1" s="1140"/>
      <c r="J1" s="1140"/>
      <c r="K1" s="1140"/>
      <c r="L1" s="1140"/>
      <c r="M1" s="1140"/>
      <c r="N1" s="1140"/>
      <c r="O1" s="1141"/>
      <c r="P1" s="1283" t="s">
        <v>1616</v>
      </c>
      <c r="Q1" s="1284"/>
      <c r="R1" s="1284"/>
      <c r="S1" s="1284"/>
      <c r="T1" s="1284"/>
      <c r="U1" s="768"/>
      <c r="V1" s="768"/>
      <c r="W1" s="769"/>
    </row>
    <row r="2" spans="2:23" ht="14.1" customHeight="1">
      <c r="B2" s="5"/>
      <c r="C2" s="1131"/>
      <c r="D2" s="1132"/>
      <c r="E2" s="1132"/>
      <c r="F2" s="1132"/>
      <c r="G2" s="1132"/>
      <c r="H2" s="1132"/>
      <c r="I2" s="1132"/>
      <c r="J2" s="1132"/>
      <c r="K2" s="1132"/>
      <c r="L2" s="1132"/>
      <c r="M2" s="1132"/>
      <c r="N2" s="1132"/>
      <c r="O2" s="1133"/>
      <c r="P2" s="1126" t="s">
        <v>3</v>
      </c>
      <c r="Q2" s="1127"/>
      <c r="R2" s="1127"/>
      <c r="S2" s="1127"/>
      <c r="T2" s="1127"/>
      <c r="U2" s="762"/>
      <c r="V2" s="762"/>
      <c r="W2" s="763"/>
    </row>
    <row r="3" spans="2:23" ht="14.1" customHeight="1">
      <c r="B3" s="5"/>
      <c r="C3" s="1288" t="s">
        <v>100</v>
      </c>
      <c r="D3" s="1289"/>
      <c r="E3" s="1289"/>
      <c r="F3" s="1289"/>
      <c r="G3" s="1289"/>
      <c r="H3" s="1289"/>
      <c r="I3" s="1289"/>
      <c r="J3" s="1289"/>
      <c r="K3" s="1289"/>
      <c r="L3" s="1289"/>
      <c r="M3" s="1289"/>
      <c r="N3" s="1289"/>
      <c r="O3" s="1290"/>
      <c r="P3" s="1280">
        <v>0</v>
      </c>
      <c r="Q3" s="1281"/>
      <c r="R3" s="1281"/>
      <c r="S3" s="1281"/>
      <c r="T3" s="764"/>
      <c r="U3" s="764"/>
      <c r="V3" s="764"/>
      <c r="W3" s="765"/>
    </row>
    <row r="4" spans="2:23" ht="14.1" customHeight="1">
      <c r="B4" s="5"/>
      <c r="C4" s="1292" t="s">
        <v>101</v>
      </c>
      <c r="D4" s="1293"/>
      <c r="E4" s="1293"/>
      <c r="F4" s="1293"/>
      <c r="G4" s="1293"/>
      <c r="H4" s="1293"/>
      <c r="I4" s="1293"/>
      <c r="J4" s="1293"/>
      <c r="K4" s="1293"/>
      <c r="L4" s="1293"/>
      <c r="M4" s="1293"/>
      <c r="N4" s="1293"/>
      <c r="O4" s="1294"/>
      <c r="P4" s="1126" t="s">
        <v>4</v>
      </c>
      <c r="Q4" s="1127"/>
      <c r="R4" s="1127"/>
      <c r="S4" s="1127"/>
      <c r="T4" s="1127"/>
      <c r="U4" s="762"/>
      <c r="V4" s="762"/>
      <c r="W4" s="763"/>
    </row>
    <row r="5" spans="2:23" ht="30" customHeight="1" thickBot="1">
      <c r="B5" s="6"/>
      <c r="C5" s="1295"/>
      <c r="D5" s="1296"/>
      <c r="E5" s="1296"/>
      <c r="F5" s="1296"/>
      <c r="G5" s="1296"/>
      <c r="H5" s="1296"/>
      <c r="I5" s="1296"/>
      <c r="J5" s="1296"/>
      <c r="K5" s="1296"/>
      <c r="L5" s="1296"/>
      <c r="M5" s="1296"/>
      <c r="N5" s="1296"/>
      <c r="O5" s="1297"/>
      <c r="P5" s="1129" t="s">
        <v>1617</v>
      </c>
      <c r="Q5" s="1282"/>
      <c r="R5" s="1282"/>
      <c r="S5" s="1282"/>
      <c r="T5" s="1282"/>
      <c r="U5" s="766"/>
      <c r="V5" s="766"/>
      <c r="W5" s="767"/>
    </row>
    <row r="6" spans="2:23" ht="14.1" customHeight="1">
      <c r="B6" s="740"/>
      <c r="C6" s="741"/>
      <c r="D6" s="742"/>
      <c r="E6" s="742"/>
      <c r="F6" s="742"/>
      <c r="G6" s="742"/>
      <c r="H6" s="742"/>
      <c r="I6" s="742"/>
      <c r="J6" s="742"/>
      <c r="K6" s="742"/>
      <c r="L6" s="742"/>
      <c r="M6" s="742"/>
      <c r="N6" s="742"/>
      <c r="O6" s="742"/>
      <c r="P6" s="743"/>
      <c r="Q6" s="744"/>
      <c r="R6" s="744"/>
      <c r="S6" s="745"/>
      <c r="T6" s="745"/>
      <c r="U6" s="745"/>
      <c r="V6" s="745"/>
      <c r="W6" s="746"/>
    </row>
    <row r="7" spans="2:23" ht="14.1" customHeight="1">
      <c r="B7" s="840"/>
      <c r="C7" s="831">
        <v>1</v>
      </c>
      <c r="D7" s="1302" t="s">
        <v>791</v>
      </c>
      <c r="E7" s="1302"/>
      <c r="F7" s="1302"/>
      <c r="G7" s="1302"/>
      <c r="H7" s="1302"/>
      <c r="I7" s="1302"/>
      <c r="J7" s="1302"/>
      <c r="K7" s="1302"/>
      <c r="L7" s="1302"/>
      <c r="M7" s="1302"/>
      <c r="N7" s="1302"/>
      <c r="O7" s="1302"/>
      <c r="P7" s="1302"/>
      <c r="Q7" s="1302"/>
      <c r="R7" s="744"/>
      <c r="S7" s="745"/>
      <c r="T7" s="745"/>
      <c r="U7" s="745"/>
      <c r="V7" s="745"/>
      <c r="W7" s="746"/>
    </row>
    <row r="8" spans="2:23" ht="14.1" customHeight="1">
      <c r="B8" s="740"/>
      <c r="C8" s="792" t="s">
        <v>7</v>
      </c>
      <c r="D8" s="716" t="s">
        <v>1156</v>
      </c>
      <c r="E8" s="742"/>
      <c r="F8" s="742"/>
      <c r="G8" s="742"/>
      <c r="H8" s="742"/>
      <c r="I8" s="742"/>
      <c r="J8" s="742"/>
      <c r="K8" s="742"/>
      <c r="L8" s="742"/>
      <c r="M8" s="742"/>
      <c r="N8" s="742"/>
      <c r="O8" s="742"/>
      <c r="P8" s="743"/>
      <c r="Q8" s="841">
        <v>6</v>
      </c>
      <c r="R8" s="497" t="s">
        <v>126</v>
      </c>
      <c r="S8" s="745"/>
      <c r="T8" s="745"/>
      <c r="U8" s="745"/>
      <c r="V8" s="746"/>
    </row>
    <row r="9" spans="2:23" ht="14.1" customHeight="1">
      <c r="B9" s="740"/>
      <c r="C9" s="792" t="s">
        <v>124</v>
      </c>
      <c r="D9" s="716" t="s">
        <v>1549</v>
      </c>
      <c r="E9" s="742"/>
      <c r="F9" s="742"/>
      <c r="G9" s="742"/>
      <c r="H9" s="742"/>
      <c r="I9" s="742"/>
      <c r="J9" s="742"/>
      <c r="K9" s="742"/>
      <c r="L9" s="742"/>
      <c r="M9" s="742"/>
      <c r="N9" s="742"/>
      <c r="O9" s="742"/>
      <c r="P9" s="743"/>
      <c r="Q9" s="157">
        <v>20</v>
      </c>
      <c r="R9" s="497" t="s">
        <v>108</v>
      </c>
      <c r="S9" s="745"/>
      <c r="T9" s="745"/>
      <c r="U9" s="745"/>
      <c r="V9" s="746"/>
    </row>
    <row r="10" spans="2:23" ht="14.1" customHeight="1">
      <c r="B10" s="740"/>
      <c r="C10" s="792" t="s">
        <v>125</v>
      </c>
      <c r="D10" s="716" t="s">
        <v>175</v>
      </c>
      <c r="E10" s="742"/>
      <c r="F10" s="742"/>
      <c r="G10" s="742"/>
      <c r="H10" s="742"/>
      <c r="I10" s="742"/>
      <c r="J10" s="742"/>
      <c r="K10" s="742"/>
      <c r="L10" s="742"/>
      <c r="M10" s="742"/>
      <c r="N10" s="742"/>
      <c r="O10" s="742"/>
      <c r="P10" s="743"/>
      <c r="Q10" s="157">
        <v>8</v>
      </c>
      <c r="R10" s="497" t="s">
        <v>17</v>
      </c>
      <c r="S10" s="745"/>
      <c r="T10" s="745"/>
      <c r="U10" s="745"/>
      <c r="V10" s="746"/>
    </row>
    <row r="11" spans="2:23" ht="28.5" customHeight="1">
      <c r="B11" s="740"/>
      <c r="C11" s="747" t="s">
        <v>127</v>
      </c>
      <c r="D11" s="1272" t="str">
        <f>PLANILHA!B11</f>
        <v>Retroescavadeira sobre rodas com carregadeira, tração 4x4, potência líq. 88 hp, caçamba carreg. Cap. Mín. 1 m3, caçamba retro cap. 0,26 m3,peso operacional mín. 6.674 kg, profundidade escavação máx. 4,37 m - chp diurno.(Limpeza da área)</v>
      </c>
      <c r="E11" s="1272"/>
      <c r="F11" s="1272"/>
      <c r="G11" s="1272"/>
      <c r="H11" s="1272"/>
      <c r="I11" s="1272"/>
      <c r="J11" s="1272"/>
      <c r="K11" s="1272"/>
      <c r="L11" s="1272"/>
      <c r="M11" s="1272"/>
      <c r="N11" s="1272"/>
      <c r="O11" s="1272"/>
      <c r="P11" s="1272"/>
      <c r="Q11" s="157">
        <v>10</v>
      </c>
      <c r="R11" s="403" t="s">
        <v>179</v>
      </c>
      <c r="S11" s="745"/>
      <c r="T11" s="745"/>
      <c r="U11" s="745"/>
      <c r="V11" s="745"/>
    </row>
    <row r="12" spans="2:23" ht="14.1" customHeight="1">
      <c r="B12" s="740"/>
      <c r="C12" s="747" t="s">
        <v>1011</v>
      </c>
      <c r="D12" s="1272" t="str">
        <f>PLANILHA!B12</f>
        <v>Caminhão basculante 6 m³, peso bruto total 16.000 KG, carga útil máxima 13.071 KG, distância entre eixos 4,80 m, potência 230 cv inclusive caçambra metálica</v>
      </c>
      <c r="E12" s="1272"/>
      <c r="F12" s="1272"/>
      <c r="G12" s="1272"/>
      <c r="H12" s="1272"/>
      <c r="I12" s="1272"/>
      <c r="J12" s="1272"/>
      <c r="K12" s="1272"/>
      <c r="L12" s="1272"/>
      <c r="M12" s="1272"/>
      <c r="N12" s="1272"/>
      <c r="O12" s="1272"/>
      <c r="P12" s="1272"/>
      <c r="Q12" s="157">
        <v>5</v>
      </c>
      <c r="R12" s="403" t="s">
        <v>179</v>
      </c>
      <c r="S12" s="745"/>
      <c r="T12" s="745"/>
      <c r="U12" s="745"/>
      <c r="V12" s="745"/>
    </row>
    <row r="13" spans="2:23" ht="14.1" customHeight="1">
      <c r="B13" s="740"/>
      <c r="C13" s="741"/>
      <c r="D13" s="742"/>
      <c r="E13" s="742"/>
      <c r="F13" s="742"/>
      <c r="G13" s="742"/>
      <c r="H13" s="742"/>
      <c r="I13" s="742"/>
      <c r="J13" s="742"/>
      <c r="K13" s="742"/>
      <c r="L13" s="742"/>
      <c r="M13" s="742"/>
      <c r="N13" s="742"/>
      <c r="O13" s="742"/>
      <c r="P13" s="743"/>
      <c r="Q13" s="744"/>
      <c r="R13" s="744"/>
      <c r="S13" s="745"/>
      <c r="T13" s="745"/>
      <c r="U13" s="745"/>
      <c r="V13" s="745"/>
      <c r="W13" s="746"/>
    </row>
    <row r="14" spans="2:23" ht="14.1" customHeight="1">
      <c r="C14" s="831">
        <v>2</v>
      </c>
      <c r="D14" s="1302" t="str">
        <f>SINTÉTICA!B8</f>
        <v>IMPLANTAÇÃO DE RESERVATÓRIO METÁLICO 500M³</v>
      </c>
      <c r="E14" s="1302"/>
      <c r="F14" s="1302"/>
      <c r="G14" s="1302"/>
      <c r="H14" s="1302"/>
      <c r="I14" s="1302"/>
      <c r="J14" s="1302"/>
      <c r="K14" s="1302"/>
      <c r="L14" s="1302"/>
      <c r="M14" s="1302"/>
      <c r="N14" s="1302"/>
      <c r="O14" s="1302"/>
      <c r="P14" s="1302"/>
      <c r="Q14" s="1302"/>
      <c r="R14" s="158"/>
      <c r="S14" s="748"/>
      <c r="T14" s="457"/>
      <c r="U14" s="457"/>
      <c r="V14" s="435"/>
      <c r="W14" s="432"/>
    </row>
    <row r="15" spans="2:23" ht="14.1" customHeight="1">
      <c r="B15" s="433"/>
      <c r="C15" s="205" t="s">
        <v>8</v>
      </c>
      <c r="D15" s="174" t="s">
        <v>1482</v>
      </c>
      <c r="E15" s="616"/>
      <c r="F15" s="616"/>
      <c r="G15" s="174"/>
      <c r="Q15" s="158"/>
      <c r="R15" s="158"/>
      <c r="S15" s="748"/>
      <c r="T15" s="457"/>
      <c r="U15" s="457"/>
      <c r="V15" s="435"/>
      <c r="W15" s="432"/>
    </row>
    <row r="16" spans="2:23" ht="14.1" customHeight="1">
      <c r="B16" s="433"/>
      <c r="C16" s="534" t="s">
        <v>1452</v>
      </c>
      <c r="D16" s="616" t="s">
        <v>1483</v>
      </c>
      <c r="E16" s="616"/>
      <c r="F16" s="616"/>
      <c r="G16" s="174"/>
      <c r="Q16" s="157">
        <v>1</v>
      </c>
      <c r="R16" s="158" t="s">
        <v>245</v>
      </c>
      <c r="S16" s="748"/>
      <c r="T16" s="457"/>
      <c r="U16" s="457"/>
      <c r="V16" s="435"/>
      <c r="W16" s="432"/>
    </row>
    <row r="17" spans="2:23" ht="14.1" customHeight="1">
      <c r="B17" s="433"/>
      <c r="C17" s="534" t="s">
        <v>1453</v>
      </c>
      <c r="D17" s="616" t="s">
        <v>1688</v>
      </c>
      <c r="E17" s="616"/>
      <c r="F17" s="616"/>
      <c r="G17" s="174"/>
      <c r="Q17" s="157">
        <v>1</v>
      </c>
      <c r="R17" s="158" t="s">
        <v>245</v>
      </c>
      <c r="S17" s="748"/>
      <c r="T17" s="457"/>
      <c r="U17" s="457"/>
      <c r="V17" s="435"/>
      <c r="W17" s="432"/>
    </row>
    <row r="18" spans="2:23" ht="14.1" customHeight="1">
      <c r="B18" s="433"/>
      <c r="C18" s="403"/>
      <c r="D18" s="123"/>
      <c r="E18" s="616"/>
      <c r="F18" s="616"/>
      <c r="G18" s="174"/>
      <c r="Q18" s="158"/>
      <c r="R18" s="158"/>
      <c r="S18" s="748"/>
      <c r="T18" s="457"/>
      <c r="U18" s="457"/>
      <c r="V18" s="435"/>
      <c r="W18" s="432"/>
    </row>
    <row r="19" spans="2:23" ht="14.1" customHeight="1">
      <c r="B19" s="433"/>
      <c r="C19" s="205" t="s">
        <v>1454</v>
      </c>
      <c r="D19" s="174" t="str">
        <f>PLANILHA!B18</f>
        <v>Locação topográfica e Acompanhamento de Teste hidrostatico</v>
      </c>
      <c r="E19" s="616"/>
      <c r="F19" s="616"/>
      <c r="G19" s="174"/>
      <c r="Q19" s="158"/>
      <c r="R19" s="158"/>
      <c r="S19" s="748"/>
      <c r="T19" s="457"/>
      <c r="U19" s="457"/>
      <c r="V19" s="435"/>
      <c r="W19" s="432"/>
    </row>
    <row r="20" spans="2:23" ht="14.1" customHeight="1">
      <c r="B20" s="433"/>
      <c r="C20" s="205" t="s">
        <v>1561</v>
      </c>
      <c r="D20" s="174" t="str">
        <f>PLANILHA!B19</f>
        <v>Topógrafo com encargos complementares</v>
      </c>
      <c r="E20" s="174"/>
      <c r="F20" s="616"/>
      <c r="G20" s="174"/>
      <c r="Q20" s="157">
        <v>32</v>
      </c>
      <c r="R20" s="158" t="s">
        <v>108</v>
      </c>
      <c r="S20" s="748"/>
      <c r="T20" s="457"/>
      <c r="U20" s="457"/>
      <c r="V20" s="435"/>
      <c r="W20" s="432"/>
    </row>
    <row r="21" spans="2:23" ht="14.1" customHeight="1">
      <c r="B21" s="433"/>
      <c r="C21" s="534"/>
      <c r="D21" s="616" t="s">
        <v>1623</v>
      </c>
      <c r="E21" s="616"/>
      <c r="F21" s="616"/>
      <c r="G21" s="174"/>
      <c r="Q21" s="158"/>
      <c r="R21" s="158"/>
      <c r="S21" s="748"/>
      <c r="T21" s="457"/>
      <c r="U21" s="457"/>
      <c r="V21" s="435"/>
      <c r="W21" s="432"/>
    </row>
    <row r="22" spans="2:23" ht="14.1" customHeight="1">
      <c r="B22" s="433"/>
      <c r="C22" s="534"/>
      <c r="D22" s="616" t="s">
        <v>1627</v>
      </c>
      <c r="E22" s="616"/>
      <c r="F22" s="616"/>
      <c r="G22" s="174"/>
      <c r="Q22" s="158"/>
      <c r="R22" s="158"/>
      <c r="S22" s="748"/>
      <c r="T22" s="457"/>
      <c r="U22" s="457"/>
      <c r="V22" s="435"/>
      <c r="W22" s="432"/>
    </row>
    <row r="23" spans="2:23" ht="14.1" customHeight="1">
      <c r="B23" s="433"/>
      <c r="C23" s="534"/>
      <c r="D23" s="616"/>
      <c r="E23" s="616"/>
      <c r="F23" s="616"/>
      <c r="G23" s="174"/>
      <c r="Q23" s="158"/>
      <c r="R23" s="158"/>
      <c r="S23" s="748"/>
      <c r="T23" s="457"/>
      <c r="U23" s="457"/>
      <c r="V23" s="435"/>
      <c r="W23" s="432"/>
    </row>
    <row r="24" spans="2:23" ht="14.1" customHeight="1">
      <c r="B24" s="433"/>
      <c r="C24" s="534"/>
      <c r="D24" s="616" t="s">
        <v>1500</v>
      </c>
      <c r="E24" s="616"/>
      <c r="F24" s="616"/>
      <c r="G24" s="174"/>
      <c r="Q24" s="158"/>
      <c r="R24" s="158"/>
      <c r="S24" s="748"/>
      <c r="T24" s="457"/>
      <c r="U24" s="457"/>
      <c r="V24" s="435"/>
      <c r="W24" s="432"/>
    </row>
    <row r="25" spans="2:23" ht="14.1" customHeight="1">
      <c r="B25" s="433"/>
      <c r="C25" s="534"/>
      <c r="D25" s="616" t="s">
        <v>1624</v>
      </c>
      <c r="E25" s="616"/>
      <c r="F25" s="616"/>
      <c r="G25" s="174"/>
      <c r="Q25" s="158"/>
      <c r="R25" s="158"/>
      <c r="S25" s="748"/>
      <c r="T25" s="457"/>
      <c r="U25" s="457"/>
      <c r="V25" s="435"/>
      <c r="W25" s="432"/>
    </row>
    <row r="26" spans="2:23" ht="14.1" customHeight="1">
      <c r="B26" s="433"/>
      <c r="C26" s="534"/>
      <c r="D26" s="616" t="s">
        <v>1629</v>
      </c>
      <c r="E26" s="616"/>
      <c r="F26" s="616"/>
      <c r="G26" s="174"/>
      <c r="Q26" s="158"/>
      <c r="R26" s="158"/>
      <c r="S26" s="748"/>
      <c r="T26" s="457"/>
      <c r="U26" s="457"/>
      <c r="V26" s="435"/>
      <c r="W26" s="432"/>
    </row>
    <row r="27" spans="2:23" ht="14.1" customHeight="1">
      <c r="B27" s="433"/>
      <c r="C27" s="534"/>
      <c r="D27" s="616"/>
      <c r="E27" s="616"/>
      <c r="F27" s="616"/>
      <c r="G27" s="174"/>
      <c r="Q27" s="158"/>
      <c r="R27" s="158"/>
      <c r="S27" s="748"/>
      <c r="T27" s="457"/>
      <c r="U27" s="457"/>
      <c r="V27" s="435"/>
      <c r="W27" s="432"/>
    </row>
    <row r="28" spans="2:23" ht="14.1" customHeight="1">
      <c r="B28" s="433"/>
      <c r="C28" s="205" t="s">
        <v>1562</v>
      </c>
      <c r="D28" s="174" t="str">
        <f>PLANILHA!B20</f>
        <v>Auxiliar de topografo com encargos complementares</v>
      </c>
      <c r="E28" s="174"/>
      <c r="F28" s="174"/>
      <c r="G28" s="174"/>
      <c r="Q28" s="157">
        <v>32</v>
      </c>
      <c r="R28" s="158" t="s">
        <v>108</v>
      </c>
      <c r="S28" s="748"/>
      <c r="T28" s="457"/>
      <c r="U28" s="457"/>
      <c r="V28" s="435"/>
      <c r="W28" s="432"/>
    </row>
    <row r="29" spans="2:23" ht="14.1" customHeight="1">
      <c r="B29" s="433"/>
      <c r="C29" s="403"/>
      <c r="D29" s="123" t="s">
        <v>1626</v>
      </c>
      <c r="E29" s="616"/>
      <c r="F29" s="616"/>
      <c r="G29" s="174"/>
      <c r="Q29" s="158"/>
      <c r="R29" s="158"/>
      <c r="S29" s="748"/>
      <c r="T29" s="457"/>
      <c r="U29" s="457"/>
      <c r="V29" s="435"/>
      <c r="W29" s="432"/>
    </row>
    <row r="30" spans="2:23" ht="14.1" customHeight="1">
      <c r="B30" s="433"/>
      <c r="C30" s="403"/>
      <c r="D30" s="123" t="s">
        <v>1628</v>
      </c>
      <c r="E30" s="616"/>
      <c r="F30" s="616"/>
      <c r="G30" s="174"/>
      <c r="Q30" s="158"/>
      <c r="R30" s="158"/>
      <c r="S30" s="748"/>
      <c r="T30" s="457"/>
      <c r="U30" s="457"/>
      <c r="V30" s="435"/>
      <c r="W30" s="432"/>
    </row>
    <row r="31" spans="2:23" ht="14.1" customHeight="1">
      <c r="B31" s="433"/>
      <c r="C31" s="403"/>
      <c r="D31" s="123"/>
      <c r="E31" s="616"/>
      <c r="F31" s="616"/>
      <c r="G31" s="174"/>
      <c r="Q31" s="158"/>
      <c r="R31" s="158"/>
      <c r="S31" s="748"/>
      <c r="T31" s="457"/>
      <c r="U31" s="457"/>
      <c r="V31" s="435"/>
      <c r="W31" s="432"/>
    </row>
    <row r="32" spans="2:23" ht="14.1" customHeight="1">
      <c r="B32" s="433"/>
      <c r="C32" s="403"/>
      <c r="D32" s="123" t="s">
        <v>1500</v>
      </c>
      <c r="E32" s="616"/>
      <c r="F32" s="616"/>
      <c r="G32" s="174"/>
      <c r="Q32" s="158"/>
      <c r="R32" s="158"/>
      <c r="S32" s="748"/>
      <c r="T32" s="457"/>
      <c r="U32" s="457"/>
      <c r="V32" s="435"/>
      <c r="W32" s="432"/>
    </row>
    <row r="33" spans="2:23" ht="14.1" customHeight="1">
      <c r="B33" s="433"/>
      <c r="C33" s="403"/>
      <c r="D33" s="123" t="s">
        <v>1624</v>
      </c>
      <c r="E33" s="616"/>
      <c r="F33" s="616"/>
      <c r="G33" s="174"/>
      <c r="Q33" s="158"/>
      <c r="R33" s="158"/>
      <c r="S33" s="748"/>
      <c r="T33" s="457"/>
      <c r="U33" s="457"/>
      <c r="V33" s="435"/>
      <c r="W33" s="432"/>
    </row>
    <row r="34" spans="2:23" ht="14.1" customHeight="1">
      <c r="B34" s="433"/>
      <c r="C34" s="403"/>
      <c r="D34" s="123" t="s">
        <v>1629</v>
      </c>
      <c r="E34" s="616"/>
      <c r="F34" s="616"/>
      <c r="G34" s="174"/>
      <c r="Q34" s="158"/>
      <c r="R34" s="158"/>
      <c r="S34" s="748"/>
      <c r="T34" s="457"/>
      <c r="U34" s="457"/>
      <c r="V34" s="435"/>
      <c r="W34" s="432"/>
    </row>
    <row r="35" spans="2:23" ht="14.1" customHeight="1">
      <c r="B35" s="433"/>
      <c r="C35" s="403"/>
      <c r="D35" s="123"/>
      <c r="E35" s="616"/>
      <c r="F35" s="616"/>
      <c r="G35" s="174"/>
      <c r="Q35" s="158"/>
      <c r="R35" s="158"/>
      <c r="S35" s="748"/>
      <c r="T35" s="457"/>
      <c r="U35" s="457"/>
      <c r="V35" s="435"/>
      <c r="W35" s="432"/>
    </row>
    <row r="36" spans="2:23" ht="14.1" customHeight="1">
      <c r="B36" s="433"/>
      <c r="C36" s="409" t="str">
        <f>PLANILHA!A21</f>
        <v>2.2.3</v>
      </c>
      <c r="D36" s="1309" t="str">
        <f>PLANILHA!B21</f>
        <v>Desenhista detalhista com encargos complementares</v>
      </c>
      <c r="E36" s="1309"/>
      <c r="F36" s="1309"/>
      <c r="G36" s="1309"/>
      <c r="H36" s="1309"/>
      <c r="I36" s="1309"/>
      <c r="Q36" s="751">
        <f>8*2</f>
        <v>16</v>
      </c>
      <c r="R36" s="158" t="s">
        <v>108</v>
      </c>
      <c r="S36" s="748"/>
      <c r="T36" s="457"/>
      <c r="U36" s="457"/>
      <c r="V36" s="435"/>
      <c r="W36" s="432"/>
    </row>
    <row r="37" spans="2:23" ht="14.1" customHeight="1">
      <c r="B37" s="433"/>
      <c r="C37" s="403"/>
      <c r="D37" s="123" t="s">
        <v>1630</v>
      </c>
      <c r="E37" s="616"/>
      <c r="F37" s="616"/>
      <c r="G37" s="174"/>
      <c r="Q37" s="158"/>
      <c r="R37" s="158"/>
      <c r="S37" s="748"/>
      <c r="T37" s="457"/>
      <c r="U37" s="457"/>
      <c r="V37" s="435"/>
      <c r="W37" s="432"/>
    </row>
    <row r="38" spans="2:23" ht="14.1" customHeight="1">
      <c r="B38" s="433"/>
      <c r="C38" s="403"/>
      <c r="D38" s="123" t="s">
        <v>1632</v>
      </c>
      <c r="E38" s="616"/>
      <c r="F38" s="616"/>
      <c r="G38" s="174"/>
      <c r="Q38" s="158"/>
      <c r="R38" s="158"/>
      <c r="S38" s="748"/>
      <c r="T38" s="457"/>
      <c r="U38" s="457"/>
      <c r="V38" s="435"/>
      <c r="W38" s="432"/>
    </row>
    <row r="39" spans="2:23" ht="14.1" customHeight="1">
      <c r="B39" s="433"/>
      <c r="C39" s="403"/>
      <c r="D39" s="123"/>
      <c r="E39" s="616"/>
      <c r="F39" s="616"/>
      <c r="G39" s="174"/>
      <c r="Q39" s="158"/>
      <c r="R39" s="158"/>
      <c r="S39" s="748"/>
      <c r="T39" s="457"/>
      <c r="U39" s="457"/>
      <c r="V39" s="435"/>
      <c r="W39" s="432"/>
    </row>
    <row r="40" spans="2:23" ht="14.1" customHeight="1">
      <c r="B40" s="433"/>
      <c r="C40" s="403"/>
      <c r="D40" s="123" t="s">
        <v>1500</v>
      </c>
      <c r="E40" s="616"/>
      <c r="F40" s="616"/>
      <c r="G40" s="174"/>
      <c r="Q40" s="158"/>
      <c r="R40" s="158"/>
      <c r="S40" s="748"/>
      <c r="T40" s="457"/>
      <c r="U40" s="457"/>
      <c r="V40" s="435"/>
      <c r="W40" s="432"/>
    </row>
    <row r="41" spans="2:23" ht="14.1" customHeight="1">
      <c r="B41" s="433"/>
      <c r="C41" s="403"/>
      <c r="D41" s="123" t="s">
        <v>1624</v>
      </c>
      <c r="E41" s="616"/>
      <c r="F41" s="616"/>
      <c r="G41" s="174"/>
      <c r="Q41" s="158"/>
      <c r="R41" s="158"/>
      <c r="S41" s="748"/>
      <c r="T41" s="457"/>
      <c r="U41" s="457"/>
      <c r="V41" s="435"/>
      <c r="W41" s="432"/>
    </row>
    <row r="42" spans="2:23" ht="14.1" customHeight="1">
      <c r="B42" s="433"/>
      <c r="C42" s="403"/>
      <c r="D42" s="123" t="s">
        <v>1631</v>
      </c>
      <c r="E42" s="616"/>
      <c r="F42" s="616"/>
      <c r="G42" s="174"/>
      <c r="Q42" s="158"/>
      <c r="R42" s="158"/>
      <c r="S42" s="748"/>
      <c r="T42" s="457"/>
      <c r="U42" s="457"/>
      <c r="V42" s="435"/>
      <c r="W42" s="432"/>
    </row>
    <row r="43" spans="2:23" ht="14.1" customHeight="1">
      <c r="B43" s="433"/>
      <c r="C43" s="403"/>
      <c r="D43" s="123"/>
      <c r="E43" s="616"/>
      <c r="F43" s="616"/>
      <c r="G43" s="174"/>
      <c r="Q43" s="158"/>
      <c r="R43" s="158"/>
      <c r="S43" s="748"/>
      <c r="T43" s="457"/>
      <c r="U43" s="457"/>
      <c r="V43" s="435"/>
      <c r="W43" s="432"/>
    </row>
    <row r="44" spans="2:23" ht="14.1" customHeight="1">
      <c r="B44" s="433"/>
      <c r="C44" s="403"/>
      <c r="D44" s="123"/>
      <c r="E44" s="616"/>
      <c r="F44" s="616"/>
      <c r="G44" s="174"/>
      <c r="Q44" s="158"/>
      <c r="R44" s="158"/>
      <c r="S44" s="748"/>
      <c r="T44" s="457"/>
      <c r="U44" s="457"/>
      <c r="V44" s="435"/>
      <c r="W44" s="432"/>
    </row>
    <row r="45" spans="2:23" ht="14.1" customHeight="1">
      <c r="B45" s="433"/>
      <c r="C45" s="409" t="str">
        <f>PLANILHA!A22</f>
        <v>2.3</v>
      </c>
      <c r="D45" s="609" t="str">
        <f>PLANILHA!B22</f>
        <v>Construção da base de apoio e fundações</v>
      </c>
      <c r="E45" s="616"/>
      <c r="F45" s="616"/>
      <c r="G45" s="174"/>
      <c r="Q45" s="158"/>
      <c r="R45" s="158"/>
      <c r="S45" s="748"/>
      <c r="T45" s="457"/>
      <c r="U45" s="457"/>
      <c r="V45" s="435"/>
      <c r="W45" s="432"/>
    </row>
    <row r="46" spans="2:23" ht="14.1" customHeight="1">
      <c r="B46" s="433"/>
      <c r="C46" s="409" t="str">
        <f>PLANILHA!A23</f>
        <v>2.3.1</v>
      </c>
      <c r="D46" s="174" t="s">
        <v>1496</v>
      </c>
      <c r="E46" s="616"/>
      <c r="F46" s="616"/>
      <c r="G46" s="174"/>
      <c r="H46" s="472"/>
      <c r="I46" s="472"/>
      <c r="J46" s="472"/>
      <c r="K46" s="472"/>
      <c r="L46" s="472"/>
      <c r="M46" s="472"/>
      <c r="N46" s="472"/>
      <c r="O46" s="472"/>
      <c r="P46" s="472"/>
      <c r="Q46" s="795">
        <f>F50*F51*1.1</f>
        <v>435.6</v>
      </c>
      <c r="R46" s="796" t="s">
        <v>0</v>
      </c>
      <c r="S46" s="797"/>
      <c r="T46" s="457"/>
      <c r="U46" s="457"/>
      <c r="V46" s="435"/>
      <c r="W46" s="432"/>
    </row>
    <row r="47" spans="2:23" ht="14.1" customHeight="1">
      <c r="B47" s="433"/>
      <c r="C47" s="534"/>
      <c r="D47" s="798"/>
      <c r="E47" s="472" t="s">
        <v>1618</v>
      </c>
      <c r="F47" s="472"/>
      <c r="G47" s="472"/>
      <c r="H47" s="472"/>
      <c r="I47" s="472"/>
      <c r="J47" s="472"/>
      <c r="K47" s="472"/>
      <c r="L47" s="472"/>
      <c r="M47" s="472"/>
      <c r="N47" s="472"/>
      <c r="O47" s="472"/>
      <c r="P47" s="472"/>
      <c r="Q47" s="472"/>
      <c r="R47" s="796"/>
      <c r="S47" s="534"/>
      <c r="T47" s="457"/>
      <c r="U47" s="457"/>
      <c r="V47" s="435"/>
      <c r="W47" s="432"/>
    </row>
    <row r="48" spans="2:23" ht="14.1" customHeight="1">
      <c r="B48" s="433"/>
      <c r="C48" s="534"/>
      <c r="D48" s="616"/>
      <c r="E48" s="616"/>
      <c r="F48" s="616"/>
      <c r="G48" s="174"/>
      <c r="H48" s="472"/>
      <c r="I48" s="472"/>
      <c r="J48" s="472"/>
      <c r="K48" s="472"/>
      <c r="L48" s="472"/>
      <c r="M48" s="472"/>
      <c r="N48" s="472"/>
      <c r="O48" s="472"/>
      <c r="P48" s="472"/>
      <c r="Q48" s="796"/>
      <c r="R48" s="796"/>
      <c r="S48" s="799"/>
      <c r="T48" s="457"/>
      <c r="U48" s="457"/>
      <c r="V48" s="435"/>
      <c r="W48" s="432"/>
    </row>
    <row r="49" spans="2:23" ht="14.1" customHeight="1">
      <c r="B49" s="433"/>
      <c r="D49" s="616" t="s">
        <v>1500</v>
      </c>
      <c r="E49" s="616"/>
      <c r="F49" s="616"/>
      <c r="G49" s="174"/>
      <c r="H49" s="472"/>
      <c r="I49" s="472"/>
      <c r="J49" s="472"/>
      <c r="K49" s="472"/>
      <c r="L49" s="472"/>
      <c r="M49" s="472"/>
      <c r="N49" s="472"/>
      <c r="O49" s="472"/>
      <c r="P49" s="472"/>
      <c r="Q49" s="796"/>
      <c r="R49" s="796"/>
      <c r="S49" s="799"/>
      <c r="T49" s="457"/>
      <c r="U49" s="457"/>
      <c r="V49" s="435"/>
      <c r="W49" s="432"/>
    </row>
    <row r="50" spans="2:23">
      <c r="B50" s="433"/>
      <c r="D50" s="1300" t="s">
        <v>1494</v>
      </c>
      <c r="E50" s="1272"/>
      <c r="F50" s="820">
        <v>33</v>
      </c>
      <c r="G50" s="616" t="s">
        <v>118</v>
      </c>
      <c r="H50" s="472"/>
      <c r="I50" s="472"/>
      <c r="J50" s="472"/>
      <c r="K50" s="472"/>
      <c r="L50" s="472"/>
      <c r="M50" s="472"/>
      <c r="N50" s="472"/>
      <c r="O50" s="472"/>
      <c r="P50" s="472"/>
      <c r="Q50" s="796"/>
      <c r="R50" s="796"/>
      <c r="S50" s="799"/>
      <c r="T50" s="457"/>
      <c r="U50" s="457"/>
      <c r="V50" s="435"/>
      <c r="W50" s="432"/>
    </row>
    <row r="51" spans="2:23">
      <c r="B51" s="433"/>
      <c r="D51" s="1300" t="s">
        <v>1619</v>
      </c>
      <c r="E51" s="1272"/>
      <c r="F51" s="820">
        <v>12</v>
      </c>
      <c r="G51" s="616" t="s">
        <v>0</v>
      </c>
      <c r="H51" s="472"/>
      <c r="I51" s="472"/>
      <c r="J51" s="472"/>
      <c r="K51" s="472"/>
      <c r="L51" s="472"/>
      <c r="M51" s="472"/>
      <c r="N51" s="472"/>
      <c r="O51" s="472"/>
      <c r="P51" s="472"/>
      <c r="Q51" s="796"/>
      <c r="R51" s="796"/>
      <c r="S51" s="799"/>
      <c r="T51" s="457"/>
      <c r="U51" s="457"/>
      <c r="V51" s="435"/>
      <c r="W51" s="432"/>
    </row>
    <row r="52" spans="2:23">
      <c r="B52" s="433"/>
      <c r="D52" s="1300" t="s">
        <v>1622</v>
      </c>
      <c r="E52" s="1272"/>
      <c r="F52" s="820">
        <v>10</v>
      </c>
      <c r="G52" s="616" t="s">
        <v>1605</v>
      </c>
      <c r="H52" s="472"/>
      <c r="I52" s="472"/>
      <c r="J52" s="472"/>
      <c r="K52" s="472"/>
      <c r="L52" s="472"/>
      <c r="M52" s="472"/>
      <c r="N52" s="472"/>
      <c r="O52" s="472"/>
      <c r="P52" s="472"/>
      <c r="Q52" s="796"/>
      <c r="R52" s="796"/>
      <c r="S52" s="799"/>
      <c r="T52" s="457"/>
      <c r="U52" s="457"/>
      <c r="V52" s="435"/>
      <c r="W52" s="432"/>
    </row>
    <row r="53" spans="2:23">
      <c r="B53" s="433"/>
      <c r="C53" s="750"/>
      <c r="D53" s="800"/>
      <c r="E53" s="616"/>
      <c r="F53" s="616"/>
      <c r="G53" s="174"/>
      <c r="H53" s="472"/>
      <c r="I53" s="472"/>
      <c r="J53" s="472"/>
      <c r="K53" s="472"/>
      <c r="L53" s="472"/>
      <c r="M53" s="472"/>
      <c r="N53" s="472"/>
      <c r="O53" s="472"/>
      <c r="P53" s="472"/>
      <c r="Q53" s="796"/>
      <c r="R53" s="796"/>
      <c r="S53" s="799"/>
      <c r="T53" s="457"/>
      <c r="U53" s="457"/>
      <c r="V53" s="435"/>
      <c r="W53" s="432"/>
    </row>
    <row r="54" spans="2:23" ht="26.25" customHeight="1">
      <c r="B54" s="433"/>
      <c r="C54" s="749" t="s">
        <v>1499</v>
      </c>
      <c r="D54" s="1291" t="s">
        <v>1511</v>
      </c>
      <c r="E54" s="1291"/>
      <c r="F54" s="1291"/>
      <c r="G54" s="1291"/>
      <c r="H54" s="1291"/>
      <c r="I54" s="1291"/>
      <c r="J54" s="1291"/>
      <c r="K54" s="1291"/>
      <c r="L54" s="1291"/>
      <c r="M54" s="1291"/>
      <c r="N54" s="1291"/>
      <c r="O54" s="1291"/>
      <c r="P54" s="1291"/>
      <c r="Q54" s="796"/>
      <c r="R54" s="796"/>
      <c r="S54" s="799"/>
      <c r="T54" s="457"/>
      <c r="U54" s="457"/>
      <c r="V54" s="435"/>
      <c r="W54" s="432"/>
    </row>
    <row r="55" spans="2:23" ht="14.1" customHeight="1">
      <c r="B55" s="433"/>
      <c r="C55" s="534"/>
      <c r="D55" s="616"/>
      <c r="E55" s="616"/>
      <c r="F55" s="616"/>
      <c r="G55" s="174"/>
      <c r="H55" s="472"/>
      <c r="I55" s="472"/>
      <c r="J55" s="472"/>
      <c r="K55" s="472"/>
      <c r="L55" s="472"/>
      <c r="M55" s="472"/>
      <c r="N55" s="472"/>
      <c r="O55" s="472"/>
      <c r="P55" s="472"/>
      <c r="Q55" s="796"/>
      <c r="R55" s="796"/>
      <c r="S55" s="799"/>
      <c r="T55" s="457"/>
      <c r="U55" s="457"/>
      <c r="V55" s="435"/>
      <c r="W55" s="432"/>
    </row>
    <row r="56" spans="2:23" ht="14.1" customHeight="1">
      <c r="B56" s="433"/>
      <c r="C56" s="205" t="s">
        <v>1565</v>
      </c>
      <c r="D56" s="174" t="s">
        <v>1497</v>
      </c>
      <c r="E56" s="616"/>
      <c r="F56" s="616"/>
      <c r="G56" s="174"/>
      <c r="H56" s="472"/>
      <c r="I56" s="472"/>
      <c r="J56" s="472"/>
      <c r="K56" s="472"/>
      <c r="L56" s="472"/>
      <c r="M56" s="472"/>
      <c r="N56" s="472"/>
      <c r="O56" s="472"/>
      <c r="P56" s="472"/>
      <c r="Q56" s="795">
        <v>1</v>
      </c>
      <c r="R56" s="796" t="s">
        <v>1498</v>
      </c>
      <c r="S56" s="799"/>
      <c r="T56" s="457"/>
      <c r="U56" s="457"/>
      <c r="V56" s="435"/>
      <c r="W56" s="432"/>
    </row>
    <row r="57" spans="2:23" ht="14.1" customHeight="1">
      <c r="B57" s="433"/>
      <c r="C57" s="534"/>
      <c r="D57" s="616"/>
      <c r="E57" s="616"/>
      <c r="F57" s="616"/>
      <c r="G57" s="174"/>
      <c r="H57" s="472"/>
      <c r="I57" s="472"/>
      <c r="J57" s="472"/>
      <c r="K57" s="472"/>
      <c r="L57" s="472"/>
      <c r="M57" s="472"/>
      <c r="N57" s="472"/>
      <c r="O57" s="472"/>
      <c r="P57" s="472"/>
      <c r="Q57" s="796"/>
      <c r="R57" s="796"/>
      <c r="S57" s="799"/>
      <c r="T57" s="457"/>
      <c r="U57" s="457"/>
      <c r="V57" s="435"/>
      <c r="W57" s="432"/>
    </row>
    <row r="58" spans="2:23" ht="14.1" customHeight="1">
      <c r="B58" s="433"/>
      <c r="C58" s="205" t="s">
        <v>1566</v>
      </c>
      <c r="D58" s="174" t="s">
        <v>1501</v>
      </c>
      <c r="E58" s="616"/>
      <c r="F58" s="616"/>
      <c r="G58" s="174"/>
      <c r="H58" s="472"/>
      <c r="I58" s="472"/>
      <c r="J58" s="472"/>
      <c r="K58" s="472"/>
      <c r="L58" s="472"/>
      <c r="M58" s="472"/>
      <c r="N58" s="472"/>
      <c r="O58" s="472"/>
      <c r="P58" s="472"/>
      <c r="Q58" s="795">
        <f>F62+L62</f>
        <v>87.729745588892669</v>
      </c>
      <c r="R58" s="796" t="s">
        <v>18</v>
      </c>
      <c r="S58" s="799"/>
      <c r="T58" s="457"/>
      <c r="U58" s="457"/>
      <c r="V58" s="435"/>
      <c r="W58" s="432"/>
    </row>
    <row r="59" spans="2:23" ht="14.1" customHeight="1">
      <c r="B59" s="433"/>
      <c r="C59" s="534"/>
      <c r="D59" s="616"/>
      <c r="E59" s="472" t="s">
        <v>1502</v>
      </c>
      <c r="F59" s="616"/>
      <c r="G59" s="174"/>
      <c r="H59" s="472"/>
      <c r="I59" s="472"/>
      <c r="J59" s="472"/>
      <c r="K59" s="472"/>
      <c r="L59" s="472"/>
      <c r="M59" s="472"/>
      <c r="N59" s="472"/>
      <c r="O59" s="472"/>
      <c r="P59" s="472"/>
      <c r="Q59" s="796"/>
      <c r="R59" s="796"/>
      <c r="S59" s="799"/>
      <c r="T59" s="457"/>
      <c r="U59" s="457"/>
      <c r="V59" s="435"/>
      <c r="W59" s="432"/>
    </row>
    <row r="60" spans="2:23" ht="14.1" customHeight="1">
      <c r="B60" s="433"/>
      <c r="C60" s="534"/>
      <c r="D60" s="616"/>
      <c r="E60" s="616"/>
      <c r="F60" s="616"/>
      <c r="G60" s="174"/>
      <c r="H60" s="472"/>
      <c r="I60" s="472"/>
      <c r="J60" s="472"/>
      <c r="K60" s="472"/>
      <c r="L60" s="472"/>
      <c r="M60" s="472"/>
      <c r="N60" s="472"/>
      <c r="O60" s="472"/>
      <c r="P60" s="472"/>
      <c r="Q60" s="796"/>
      <c r="R60" s="796"/>
      <c r="S60" s="799"/>
      <c r="T60" s="457"/>
      <c r="U60" s="457"/>
      <c r="V60" s="435"/>
      <c r="W60" s="432"/>
    </row>
    <row r="61" spans="2:23" ht="14.1" customHeight="1">
      <c r="B61" s="433"/>
      <c r="D61" s="616" t="s">
        <v>1500</v>
      </c>
      <c r="E61" s="616"/>
      <c r="F61" s="616"/>
      <c r="G61" s="174"/>
      <c r="H61" s="472"/>
      <c r="I61" s="472"/>
      <c r="J61" s="472"/>
      <c r="K61" s="472"/>
      <c r="L61" s="472"/>
      <c r="M61" s="472"/>
      <c r="N61" s="472"/>
      <c r="O61" s="472"/>
      <c r="P61" s="472"/>
      <c r="Q61" s="796"/>
      <c r="R61" s="796"/>
      <c r="S61" s="799"/>
      <c r="T61" s="457"/>
      <c r="U61" s="457"/>
      <c r="V61" s="435"/>
      <c r="W61" s="432"/>
    </row>
    <row r="62" spans="2:23" ht="40.5" customHeight="1">
      <c r="B62" s="433"/>
      <c r="C62" s="749"/>
      <c r="D62" s="1272" t="s">
        <v>1657</v>
      </c>
      <c r="E62" s="1272"/>
      <c r="F62" s="821">
        <f>(((PI()*F65^2)*F64)*F63)*1.1</f>
        <v>30.790749597833567</v>
      </c>
      <c r="G62" s="174" t="s">
        <v>18</v>
      </c>
      <c r="H62" s="472"/>
      <c r="I62" s="472"/>
      <c r="J62" s="1298" t="s">
        <v>1658</v>
      </c>
      <c r="K62" s="1298"/>
      <c r="L62" s="821">
        <f>((PI()*L63^2*L64)+L66)*1.1</f>
        <v>56.938995991059102</v>
      </c>
      <c r="M62" s="177" t="s">
        <v>18</v>
      </c>
      <c r="N62" s="472"/>
      <c r="O62" s="472"/>
      <c r="P62" s="472"/>
      <c r="Q62" s="796"/>
      <c r="R62" s="796"/>
      <c r="S62" s="799"/>
      <c r="T62" s="457"/>
      <c r="U62" s="457"/>
      <c r="V62" s="435"/>
      <c r="W62" s="432"/>
    </row>
    <row r="63" spans="2:23">
      <c r="B63" s="433"/>
      <c r="C63" s="750"/>
      <c r="D63" s="1272" t="s">
        <v>1494</v>
      </c>
      <c r="E63" s="1272"/>
      <c r="F63" s="820">
        <v>33</v>
      </c>
      <c r="G63" s="616" t="s">
        <v>118</v>
      </c>
      <c r="H63" s="616"/>
      <c r="I63" s="472"/>
      <c r="J63" s="1298" t="s">
        <v>1503</v>
      </c>
      <c r="K63" s="1298"/>
      <c r="L63" s="820">
        <f>7.36/2</f>
        <v>3.68</v>
      </c>
      <c r="M63" s="616" t="s">
        <v>0</v>
      </c>
      <c r="N63" s="472"/>
      <c r="O63" s="472"/>
      <c r="P63" s="472"/>
      <c r="Q63" s="796"/>
      <c r="R63" s="796"/>
      <c r="S63" s="799"/>
      <c r="T63" s="457"/>
      <c r="U63" s="457"/>
      <c r="V63" s="435"/>
      <c r="W63" s="432"/>
    </row>
    <row r="64" spans="2:23">
      <c r="B64" s="433"/>
      <c r="C64" s="750"/>
      <c r="D64" s="1272" t="s">
        <v>1495</v>
      </c>
      <c r="E64" s="1272"/>
      <c r="F64" s="820">
        <v>12</v>
      </c>
      <c r="G64" s="616" t="s">
        <v>0</v>
      </c>
      <c r="H64" s="616"/>
      <c r="I64" s="472"/>
      <c r="J64" s="1298" t="s">
        <v>1504</v>
      </c>
      <c r="K64" s="1298"/>
      <c r="L64" s="820">
        <v>1.2</v>
      </c>
      <c r="M64" s="616" t="s">
        <v>0</v>
      </c>
      <c r="N64" s="472"/>
      <c r="O64" s="472"/>
      <c r="P64" s="472"/>
      <c r="Q64" s="796"/>
      <c r="R64" s="796"/>
      <c r="S64" s="799"/>
      <c r="T64" s="457"/>
      <c r="U64" s="457"/>
      <c r="V64" s="435"/>
      <c r="W64" s="432"/>
    </row>
    <row r="65" spans="2:23" ht="14.1" customHeight="1">
      <c r="B65" s="433"/>
      <c r="C65" s="616"/>
      <c r="D65" s="1274" t="s">
        <v>1503</v>
      </c>
      <c r="E65" s="1274"/>
      <c r="F65" s="820">
        <f>(30/100)/2</f>
        <v>0.15</v>
      </c>
      <c r="G65" s="616" t="s">
        <v>0</v>
      </c>
      <c r="H65" s="472"/>
      <c r="I65" s="472"/>
      <c r="J65" s="1299" t="s">
        <v>1620</v>
      </c>
      <c r="K65" s="1299"/>
      <c r="L65" s="822">
        <v>10</v>
      </c>
      <c r="M65" s="472" t="s">
        <v>1605</v>
      </c>
      <c r="N65" s="472"/>
      <c r="O65" s="472"/>
      <c r="P65" s="472"/>
      <c r="Q65" s="796"/>
      <c r="R65" s="796"/>
      <c r="S65" s="799"/>
      <c r="T65" s="457"/>
      <c r="U65" s="457"/>
      <c r="V65" s="435"/>
      <c r="W65" s="432"/>
    </row>
    <row r="66" spans="2:23">
      <c r="B66" s="433"/>
      <c r="C66" s="750"/>
      <c r="D66" s="1272" t="s">
        <v>1621</v>
      </c>
      <c r="E66" s="1272"/>
      <c r="F66" s="822">
        <v>10</v>
      </c>
      <c r="G66" s="616" t="s">
        <v>1605</v>
      </c>
      <c r="H66" s="472"/>
      <c r="I66" s="472"/>
      <c r="J66" s="1178" t="s">
        <v>1726</v>
      </c>
      <c r="K66" s="1178"/>
      <c r="L66" s="820">
        <f>1/3*0.05*PI()*L63^2</f>
        <v>0.70907840586624027</v>
      </c>
      <c r="M66" s="616" t="s">
        <v>0</v>
      </c>
      <c r="N66" s="472"/>
      <c r="O66" s="472"/>
      <c r="P66" s="472"/>
      <c r="Q66" s="796"/>
      <c r="R66" s="796"/>
      <c r="S66" s="799"/>
      <c r="T66" s="457"/>
      <c r="U66" s="457"/>
      <c r="V66" s="435"/>
      <c r="W66" s="432"/>
    </row>
    <row r="67" spans="2:23" ht="14.1" customHeight="1">
      <c r="B67" s="433"/>
      <c r="C67" s="534"/>
      <c r="D67" s="616"/>
      <c r="E67" s="616"/>
      <c r="F67" s="616"/>
      <c r="G67" s="174"/>
      <c r="H67" s="472"/>
      <c r="I67" s="472"/>
      <c r="J67" s="472"/>
      <c r="K67" s="472"/>
      <c r="L67" s="472"/>
      <c r="M67" s="472"/>
      <c r="N67" s="472"/>
      <c r="O67" s="472"/>
      <c r="P67" s="472"/>
      <c r="Q67" s="796"/>
      <c r="R67" s="796"/>
      <c r="S67" s="799"/>
      <c r="T67" s="457"/>
      <c r="U67" s="457"/>
      <c r="V67" s="435"/>
      <c r="W67" s="432"/>
    </row>
    <row r="68" spans="2:23" ht="14.1" customHeight="1">
      <c r="B68" s="433"/>
      <c r="C68" s="205" t="str">
        <f>PLANILHA!A26</f>
        <v>2.3.4</v>
      </c>
      <c r="D68" s="174" t="s">
        <v>1505</v>
      </c>
      <c r="E68" s="616"/>
      <c r="F68" s="616"/>
      <c r="G68" s="174"/>
      <c r="H68" s="472"/>
      <c r="I68" s="472"/>
      <c r="J68" s="472"/>
      <c r="K68" s="472"/>
      <c r="L68" s="472"/>
      <c r="M68" s="472"/>
      <c r="N68" s="472"/>
      <c r="O68" s="472"/>
      <c r="P68" s="472"/>
      <c r="Q68" s="795">
        <v>33</v>
      </c>
      <c r="R68" s="796" t="s">
        <v>987</v>
      </c>
      <c r="S68" s="799"/>
      <c r="T68" s="457"/>
      <c r="U68" s="457"/>
      <c r="V68" s="435"/>
      <c r="W68" s="432"/>
    </row>
    <row r="69" spans="2:23" ht="14.1" customHeight="1">
      <c r="B69" s="433"/>
      <c r="C69" s="534" t="s">
        <v>1499</v>
      </c>
      <c r="D69" s="616" t="s">
        <v>1547</v>
      </c>
      <c r="E69" s="616"/>
      <c r="F69" s="616"/>
      <c r="G69" s="174"/>
      <c r="H69" s="472"/>
      <c r="I69" s="472"/>
      <c r="J69" s="472"/>
      <c r="K69" s="472"/>
      <c r="L69" s="472"/>
      <c r="M69" s="472"/>
      <c r="N69" s="472"/>
      <c r="O69" s="472"/>
      <c r="P69" s="472"/>
      <c r="Q69" s="796"/>
      <c r="R69" s="796"/>
      <c r="S69" s="799"/>
      <c r="T69" s="457"/>
      <c r="U69" s="457"/>
      <c r="V69" s="435"/>
      <c r="W69" s="432"/>
    </row>
    <row r="70" spans="2:23" ht="14.1" customHeight="1">
      <c r="B70" s="433"/>
      <c r="C70" s="534"/>
      <c r="D70" s="616"/>
      <c r="E70" s="616"/>
      <c r="F70" s="616"/>
      <c r="G70" s="174"/>
      <c r="H70" s="472"/>
      <c r="I70" s="472"/>
      <c r="J70" s="472"/>
      <c r="K70" s="472"/>
      <c r="L70" s="472"/>
      <c r="M70" s="472"/>
      <c r="N70" s="472"/>
      <c r="O70" s="472"/>
      <c r="P70" s="472"/>
      <c r="Q70" s="796"/>
      <c r="R70" s="796"/>
      <c r="S70" s="799"/>
      <c r="T70" s="457"/>
      <c r="U70" s="457"/>
      <c r="V70" s="435"/>
      <c r="W70" s="432"/>
    </row>
    <row r="71" spans="2:23" ht="13.5" customHeight="1">
      <c r="B71" s="433"/>
      <c r="C71" s="205" t="s">
        <v>1568</v>
      </c>
      <c r="D71" s="1273" t="s">
        <v>1508</v>
      </c>
      <c r="E71" s="1273"/>
      <c r="F71" s="1273"/>
      <c r="G71" s="1273"/>
      <c r="H71" s="1273"/>
      <c r="I71" s="1273"/>
      <c r="J71" s="1273"/>
      <c r="K71" s="1273"/>
      <c r="L71" s="1273"/>
      <c r="M71" s="1273"/>
      <c r="N71" s="1273"/>
      <c r="O71" s="1273"/>
      <c r="P71" s="1273"/>
      <c r="S71" s="799"/>
      <c r="T71" s="457"/>
      <c r="U71" s="457"/>
      <c r="V71" s="435"/>
      <c r="W71" s="432"/>
    </row>
    <row r="72" spans="2:23" ht="14.1" customHeight="1">
      <c r="B72" s="433"/>
      <c r="C72" s="534"/>
      <c r="D72" s="472"/>
      <c r="E72" s="1270" t="s">
        <v>1506</v>
      </c>
      <c r="F72" s="1271"/>
      <c r="G72" s="1271"/>
      <c r="H72" s="1271"/>
      <c r="I72" s="1271"/>
      <c r="J72" s="1271"/>
      <c r="K72" s="1271"/>
      <c r="L72" s="1271"/>
      <c r="M72" s="1271"/>
      <c r="N72" s="1271"/>
      <c r="O72" s="1271"/>
      <c r="P72" s="1271"/>
      <c r="Q72" s="795">
        <f>F75*10</f>
        <v>30</v>
      </c>
      <c r="R72" s="796" t="s">
        <v>179</v>
      </c>
      <c r="S72" s="799"/>
      <c r="T72" s="457"/>
      <c r="U72" s="457"/>
      <c r="V72" s="435"/>
      <c r="W72" s="432"/>
    </row>
    <row r="73" spans="2:23" ht="14.1" customHeight="1">
      <c r="B73" s="433"/>
      <c r="C73" s="534"/>
      <c r="D73" s="616"/>
      <c r="E73" s="616"/>
      <c r="F73" s="616"/>
      <c r="G73" s="174"/>
      <c r="H73" s="472"/>
      <c r="I73" s="472"/>
      <c r="J73" s="472"/>
      <c r="K73" s="472"/>
      <c r="L73" s="472"/>
      <c r="M73" s="472"/>
      <c r="N73" s="472"/>
      <c r="O73" s="472"/>
      <c r="P73" s="472"/>
      <c r="Q73" s="796"/>
      <c r="R73" s="796"/>
      <c r="S73" s="799"/>
      <c r="T73" s="457"/>
      <c r="U73" s="457"/>
      <c r="V73" s="435"/>
      <c r="W73" s="432"/>
    </row>
    <row r="74" spans="2:23" ht="14.1" customHeight="1">
      <c r="B74" s="433"/>
      <c r="D74" s="616" t="s">
        <v>1500</v>
      </c>
      <c r="E74" s="616"/>
      <c r="F74" s="616"/>
      <c r="G74" s="174"/>
      <c r="H74" s="472"/>
      <c r="I74" s="472"/>
      <c r="J74" s="472"/>
      <c r="K74" s="472"/>
      <c r="L74" s="472"/>
      <c r="M74" s="472"/>
      <c r="N74" s="472"/>
      <c r="O74" s="472"/>
      <c r="P74" s="472"/>
      <c r="Q74" s="796"/>
      <c r="R74" s="796"/>
      <c r="S74" s="799"/>
      <c r="T74" s="457"/>
      <c r="U74" s="457"/>
      <c r="V74" s="435"/>
      <c r="W74" s="432"/>
    </row>
    <row r="75" spans="2:23" ht="21.75" customHeight="1">
      <c r="B75" s="433"/>
      <c r="D75" s="1272" t="s">
        <v>1507</v>
      </c>
      <c r="E75" s="1272"/>
      <c r="F75" s="820">
        <v>3</v>
      </c>
      <c r="G75" s="616" t="s">
        <v>107</v>
      </c>
      <c r="H75" s="472"/>
      <c r="I75" s="472"/>
      <c r="J75" s="472"/>
      <c r="K75" s="472"/>
      <c r="L75" s="472"/>
      <c r="M75" s="472"/>
      <c r="N75" s="472"/>
      <c r="O75" s="472"/>
      <c r="P75" s="472"/>
      <c r="Q75" s="796"/>
      <c r="R75" s="796"/>
      <c r="S75" s="799"/>
      <c r="T75" s="457"/>
      <c r="U75" s="457"/>
      <c r="V75" s="435"/>
      <c r="W75" s="432"/>
    </row>
    <row r="76" spans="2:23">
      <c r="B76" s="433"/>
      <c r="C76" s="750"/>
      <c r="D76" s="800"/>
      <c r="E76" s="616"/>
      <c r="F76" s="616"/>
      <c r="G76" s="174"/>
      <c r="H76" s="472"/>
      <c r="I76" s="472"/>
      <c r="J76" s="472"/>
      <c r="K76" s="472"/>
      <c r="L76" s="472"/>
      <c r="M76" s="472"/>
      <c r="N76" s="472"/>
      <c r="O76" s="472"/>
      <c r="P76" s="472"/>
      <c r="Q76" s="796"/>
      <c r="R76" s="796"/>
      <c r="S76" s="799"/>
      <c r="T76" s="457"/>
      <c r="U76" s="457"/>
      <c r="V76" s="435"/>
      <c r="W76" s="432"/>
    </row>
    <row r="77" spans="2:23" ht="25.5" customHeight="1">
      <c r="B77" s="433"/>
      <c r="C77" s="205" t="s">
        <v>1569</v>
      </c>
      <c r="D77" s="1273" t="s">
        <v>1559</v>
      </c>
      <c r="E77" s="1273"/>
      <c r="F77" s="1273"/>
      <c r="G77" s="1273"/>
      <c r="H77" s="1273"/>
      <c r="I77" s="1273"/>
      <c r="J77" s="1273"/>
      <c r="K77" s="1273"/>
      <c r="L77" s="1273"/>
      <c r="M77" s="1273"/>
      <c r="N77" s="1273"/>
      <c r="O77" s="1273"/>
      <c r="P77" s="1273"/>
      <c r="S77" s="799"/>
      <c r="T77" s="457"/>
      <c r="U77" s="457"/>
      <c r="V77" s="435"/>
      <c r="W77" s="432"/>
    </row>
    <row r="78" spans="2:23" ht="14.1" customHeight="1">
      <c r="B78" s="433"/>
      <c r="C78" s="534"/>
      <c r="D78" s="472"/>
      <c r="E78" s="1270" t="s">
        <v>1506</v>
      </c>
      <c r="F78" s="1271"/>
      <c r="G78" s="1271"/>
      <c r="H78" s="1271"/>
      <c r="I78" s="1271"/>
      <c r="J78" s="1271"/>
      <c r="K78" s="1271"/>
      <c r="L78" s="1271"/>
      <c r="M78" s="1271"/>
      <c r="N78" s="1271"/>
      <c r="O78" s="1271"/>
      <c r="P78" s="1271"/>
      <c r="Q78" s="795">
        <f>F81*10</f>
        <v>30</v>
      </c>
      <c r="R78" s="796" t="s">
        <v>179</v>
      </c>
      <c r="S78" s="799"/>
      <c r="T78" s="457"/>
      <c r="U78" s="457"/>
      <c r="V78" s="435"/>
      <c r="W78" s="432"/>
    </row>
    <row r="79" spans="2:23">
      <c r="B79" s="433"/>
      <c r="C79" s="534"/>
      <c r="D79" s="616"/>
      <c r="E79" s="616"/>
      <c r="F79" s="616"/>
      <c r="G79" s="174"/>
      <c r="H79" s="472"/>
      <c r="I79" s="472"/>
      <c r="J79" s="472"/>
      <c r="K79" s="472"/>
      <c r="L79" s="472"/>
      <c r="M79" s="472"/>
      <c r="N79" s="472"/>
      <c r="O79" s="472"/>
      <c r="P79" s="472"/>
      <c r="Q79" s="796"/>
      <c r="R79" s="796"/>
      <c r="S79" s="799"/>
      <c r="T79" s="457"/>
      <c r="U79" s="457"/>
      <c r="V79" s="435"/>
      <c r="W79" s="432"/>
    </row>
    <row r="80" spans="2:23" ht="14.1" customHeight="1">
      <c r="B80" s="433"/>
      <c r="C80" s="534"/>
      <c r="D80" s="616" t="s">
        <v>1500</v>
      </c>
      <c r="E80" s="616"/>
      <c r="F80" s="616"/>
      <c r="G80" s="174"/>
      <c r="H80" s="472"/>
      <c r="I80" s="472"/>
      <c r="J80" s="472"/>
      <c r="K80" s="472"/>
      <c r="L80" s="472"/>
      <c r="M80" s="472"/>
      <c r="N80" s="472"/>
      <c r="O80" s="472"/>
      <c r="P80" s="472"/>
      <c r="Q80" s="796"/>
      <c r="R80" s="796"/>
      <c r="S80" s="799"/>
      <c r="T80" s="457"/>
      <c r="U80" s="457"/>
      <c r="V80" s="435"/>
      <c r="W80" s="432"/>
    </row>
    <row r="81" spans="2:23" ht="14.1" customHeight="1">
      <c r="B81" s="433"/>
      <c r="C81" s="534"/>
      <c r="D81" s="1272" t="s">
        <v>1507</v>
      </c>
      <c r="E81" s="1272"/>
      <c r="F81" s="820">
        <v>3</v>
      </c>
      <c r="G81" s="616" t="s">
        <v>107</v>
      </c>
      <c r="H81" s="472"/>
      <c r="I81" s="472"/>
      <c r="J81" s="472"/>
      <c r="K81" s="472"/>
      <c r="L81" s="472"/>
      <c r="M81" s="472"/>
      <c r="N81" s="472"/>
      <c r="O81" s="472"/>
      <c r="P81" s="472"/>
      <c r="Q81" s="796"/>
      <c r="R81" s="796"/>
      <c r="S81" s="799"/>
      <c r="T81" s="457"/>
      <c r="U81" s="457"/>
      <c r="V81" s="435"/>
      <c r="W81" s="432"/>
    </row>
    <row r="82" spans="2:23" ht="14.1" customHeight="1">
      <c r="B82" s="433"/>
      <c r="C82" s="534"/>
      <c r="D82" s="616"/>
      <c r="E82" s="616"/>
      <c r="F82" s="616"/>
      <c r="G82" s="174"/>
      <c r="H82" s="472"/>
      <c r="I82" s="472"/>
      <c r="J82" s="472"/>
      <c r="K82" s="472"/>
      <c r="L82" s="472"/>
      <c r="M82" s="472"/>
      <c r="N82" s="472"/>
      <c r="O82" s="472"/>
      <c r="P82" s="472"/>
      <c r="Q82" s="796"/>
      <c r="R82" s="796"/>
      <c r="S82" s="799"/>
      <c r="T82" s="457"/>
      <c r="U82" s="457"/>
      <c r="V82" s="435"/>
      <c r="W82" s="432"/>
    </row>
    <row r="83" spans="2:23" ht="14.1" customHeight="1">
      <c r="B83" s="433"/>
      <c r="C83" s="205" t="s">
        <v>1570</v>
      </c>
      <c r="D83" s="174" t="str">
        <f>PLANILHA!B29</f>
        <v>Compactação mecânica do solo</v>
      </c>
      <c r="E83" s="616"/>
      <c r="F83" s="616"/>
      <c r="G83" s="174"/>
      <c r="H83" s="472"/>
      <c r="I83" s="472"/>
      <c r="J83" s="472"/>
      <c r="K83" s="472"/>
      <c r="L83" s="472"/>
      <c r="M83" s="472"/>
      <c r="N83" s="472"/>
      <c r="O83" s="472"/>
      <c r="P83" s="472"/>
      <c r="Q83" s="795">
        <f>Q87</f>
        <v>46.799174787171864</v>
      </c>
      <c r="R83" s="796"/>
      <c r="S83" s="799"/>
      <c r="T83" s="457"/>
      <c r="U83" s="457"/>
      <c r="V83" s="435"/>
      <c r="W83" s="432"/>
    </row>
    <row r="84" spans="2:23" ht="14.1" customHeight="1">
      <c r="B84" s="433"/>
      <c r="C84" s="534"/>
      <c r="D84" s="616" t="s">
        <v>1633</v>
      </c>
      <c r="E84" s="616"/>
      <c r="F84" s="616"/>
      <c r="G84" s="174"/>
      <c r="H84" s="472"/>
      <c r="I84" s="472"/>
      <c r="J84" s="472"/>
      <c r="K84" s="472"/>
      <c r="L84" s="472"/>
      <c r="M84" s="472"/>
      <c r="N84" s="472"/>
      <c r="O84" s="472"/>
      <c r="P84" s="472"/>
      <c r="Q84" s="796"/>
      <c r="R84" s="796"/>
      <c r="S84" s="799"/>
      <c r="T84" s="457"/>
      <c r="U84" s="457"/>
      <c r="V84" s="435"/>
      <c r="W84" s="432"/>
    </row>
    <row r="85" spans="2:23" ht="14.1" customHeight="1">
      <c r="B85" s="433"/>
      <c r="C85" s="534"/>
      <c r="D85" s="616"/>
      <c r="E85" s="616"/>
      <c r="F85" s="616"/>
      <c r="G85" s="174"/>
      <c r="H85" s="472"/>
      <c r="I85" s="472"/>
      <c r="J85" s="472"/>
      <c r="K85" s="472"/>
      <c r="L85" s="472"/>
      <c r="M85" s="472"/>
      <c r="N85" s="472"/>
      <c r="O85" s="472"/>
      <c r="P85" s="472"/>
      <c r="Q85" s="796"/>
      <c r="R85" s="796"/>
      <c r="S85" s="799"/>
      <c r="T85" s="457"/>
      <c r="U85" s="457"/>
      <c r="V85" s="435"/>
      <c r="W85" s="432"/>
    </row>
    <row r="86" spans="2:23" ht="14.1" customHeight="1">
      <c r="B86" s="433"/>
      <c r="C86" s="205" t="s">
        <v>1571</v>
      </c>
      <c r="D86" s="174" t="s">
        <v>1510</v>
      </c>
      <c r="E86" s="616"/>
      <c r="F86" s="616"/>
      <c r="G86" s="174"/>
      <c r="H86" s="472"/>
      <c r="I86" s="472"/>
      <c r="J86" s="472"/>
      <c r="K86" s="472"/>
      <c r="L86" s="472"/>
      <c r="M86" s="472"/>
      <c r="N86" s="472"/>
      <c r="O86" s="472"/>
      <c r="P86" s="472"/>
      <c r="Q86" s="796"/>
      <c r="R86" s="796"/>
      <c r="S86" s="799"/>
      <c r="T86" s="457"/>
      <c r="U86" s="457"/>
      <c r="V86" s="435"/>
      <c r="W86" s="432"/>
    </row>
    <row r="87" spans="2:23" ht="14.1" customHeight="1">
      <c r="B87" s="433"/>
      <c r="C87" s="534"/>
      <c r="D87" s="616"/>
      <c r="E87" s="472" t="s">
        <v>1509</v>
      </c>
      <c r="F87" s="616"/>
      <c r="G87" s="174"/>
      <c r="H87" s="472"/>
      <c r="I87" s="472"/>
      <c r="J87" s="472"/>
      <c r="K87" s="472"/>
      <c r="L87" s="472"/>
      <c r="M87" s="472"/>
      <c r="N87" s="472"/>
      <c r="O87" s="472"/>
      <c r="P87" s="472"/>
      <c r="Q87" s="795">
        <f>(PI()*(F90^2))*1.1</f>
        <v>46.799174787171864</v>
      </c>
      <c r="R87" s="796" t="s">
        <v>17</v>
      </c>
      <c r="S87" s="799"/>
      <c r="T87" s="457"/>
      <c r="U87" s="457"/>
      <c r="V87" s="435"/>
      <c r="W87" s="432"/>
    </row>
    <row r="88" spans="2:23" ht="14.1" customHeight="1">
      <c r="B88" s="433"/>
      <c r="C88" s="534"/>
      <c r="D88" s="616"/>
      <c r="E88" s="616"/>
      <c r="F88" s="616"/>
      <c r="G88" s="174"/>
      <c r="H88" s="472"/>
      <c r="I88" s="472"/>
      <c r="J88" s="472"/>
      <c r="K88" s="472"/>
      <c r="L88" s="472"/>
      <c r="M88" s="472"/>
      <c r="N88" s="472"/>
      <c r="O88" s="472"/>
      <c r="P88" s="472"/>
      <c r="Q88" s="796"/>
      <c r="R88" s="796"/>
      <c r="S88" s="799"/>
      <c r="T88" s="457"/>
      <c r="U88" s="457"/>
      <c r="V88" s="435"/>
      <c r="W88" s="432"/>
    </row>
    <row r="89" spans="2:23" ht="14.1" customHeight="1">
      <c r="B89" s="433"/>
      <c r="D89" s="616" t="s">
        <v>1500</v>
      </c>
      <c r="E89" s="616"/>
      <c r="F89" s="616"/>
      <c r="G89" s="174"/>
      <c r="H89" s="472"/>
      <c r="I89" s="472"/>
      <c r="J89" s="472"/>
      <c r="K89" s="472"/>
      <c r="L89" s="472"/>
      <c r="M89" s="472"/>
      <c r="N89" s="472"/>
      <c r="O89" s="472"/>
      <c r="P89" s="472"/>
      <c r="Q89" s="796"/>
      <c r="R89" s="796"/>
      <c r="S89" s="799"/>
      <c r="T89" s="457"/>
      <c r="U89" s="457"/>
      <c r="V89" s="435"/>
      <c r="W89" s="432"/>
    </row>
    <row r="90" spans="2:23">
      <c r="B90" s="433"/>
      <c r="D90" s="1274" t="s">
        <v>1503</v>
      </c>
      <c r="E90" s="1274"/>
      <c r="F90" s="820">
        <f>7.36/2</f>
        <v>3.68</v>
      </c>
      <c r="G90" s="616" t="s">
        <v>0</v>
      </c>
      <c r="H90" s="472"/>
      <c r="I90" s="472"/>
      <c r="J90" s="472"/>
      <c r="K90" s="472"/>
      <c r="L90" s="472"/>
      <c r="M90" s="472"/>
      <c r="N90" s="472"/>
      <c r="O90" s="472"/>
      <c r="P90" s="472"/>
      <c r="Q90" s="796"/>
      <c r="R90" s="796"/>
      <c r="S90" s="799"/>
      <c r="T90" s="457"/>
      <c r="U90" s="457"/>
      <c r="V90" s="435"/>
      <c r="W90" s="432"/>
    </row>
    <row r="91" spans="2:23">
      <c r="B91" s="433"/>
      <c r="D91" s="1272" t="s">
        <v>1621</v>
      </c>
      <c r="E91" s="1272"/>
      <c r="F91" s="822">
        <v>10</v>
      </c>
      <c r="G91" s="472" t="s">
        <v>1605</v>
      </c>
      <c r="H91" s="472"/>
      <c r="I91" s="472"/>
      <c r="J91" s="472"/>
      <c r="K91" s="472"/>
      <c r="L91" s="472"/>
      <c r="M91" s="472"/>
      <c r="N91" s="472"/>
      <c r="O91" s="472"/>
      <c r="P91" s="472"/>
      <c r="Q91" s="796"/>
      <c r="R91" s="796"/>
      <c r="S91" s="799"/>
      <c r="T91" s="457"/>
      <c r="U91" s="457"/>
      <c r="V91" s="435"/>
      <c r="W91" s="432"/>
    </row>
    <row r="92" spans="2:23" ht="14.1" customHeight="1">
      <c r="B92" s="433"/>
      <c r="C92" s="534"/>
      <c r="D92" s="616"/>
      <c r="E92" s="616"/>
      <c r="F92" s="616"/>
      <c r="G92" s="174"/>
      <c r="H92" s="472"/>
      <c r="I92" s="472"/>
      <c r="J92" s="472"/>
      <c r="K92" s="472"/>
      <c r="L92" s="472"/>
      <c r="M92" s="472"/>
      <c r="N92" s="472"/>
      <c r="O92" s="472"/>
      <c r="P92" s="472"/>
      <c r="Q92" s="796"/>
      <c r="R92" s="796"/>
      <c r="S92" s="799"/>
      <c r="T92" s="457"/>
      <c r="U92" s="457"/>
      <c r="V92" s="435"/>
      <c r="W92" s="432"/>
    </row>
    <row r="93" spans="2:23" ht="14.1" customHeight="1">
      <c r="B93" s="433"/>
      <c r="C93" s="205" t="s">
        <v>1572</v>
      </c>
      <c r="D93" s="174" t="str">
        <f>PLANILHA!B31</f>
        <v>Reaterro manual de valas com compactação mecanizada (Retroescavadeira)</v>
      </c>
      <c r="E93" s="616"/>
      <c r="F93" s="616"/>
      <c r="G93" s="174"/>
      <c r="H93" s="472"/>
      <c r="I93" s="472"/>
      <c r="J93" s="472"/>
      <c r="K93" s="472"/>
      <c r="L93" s="472"/>
      <c r="M93" s="472"/>
      <c r="N93" s="472"/>
      <c r="O93" s="472"/>
      <c r="P93" s="472"/>
      <c r="S93" s="799"/>
      <c r="T93" s="457"/>
      <c r="U93" s="457"/>
      <c r="V93" s="435"/>
      <c r="W93" s="432"/>
    </row>
    <row r="94" spans="2:23" ht="14.1" customHeight="1">
      <c r="B94" s="433"/>
      <c r="C94" s="534"/>
      <c r="D94" s="472"/>
      <c r="E94" s="1270" t="s">
        <v>1506</v>
      </c>
      <c r="F94" s="1271"/>
      <c r="G94" s="1271"/>
      <c r="H94" s="1271"/>
      <c r="I94" s="1271"/>
      <c r="J94" s="1271"/>
      <c r="K94" s="1271"/>
      <c r="L94" s="1271"/>
      <c r="M94" s="1271"/>
      <c r="N94" s="1271"/>
      <c r="O94" s="1271"/>
      <c r="P94" s="1271"/>
      <c r="Q94" s="795">
        <f>10*1</f>
        <v>10</v>
      </c>
      <c r="R94" s="796" t="s">
        <v>179</v>
      </c>
      <c r="S94" s="799"/>
      <c r="T94" s="457"/>
      <c r="U94" s="457"/>
      <c r="V94" s="435"/>
      <c r="W94" s="432"/>
    </row>
    <row r="95" spans="2:23" ht="14.1" customHeight="1">
      <c r="B95" s="433"/>
      <c r="C95" s="534"/>
      <c r="D95" s="616"/>
      <c r="E95" s="616"/>
      <c r="F95" s="616"/>
      <c r="G95" s="174"/>
      <c r="H95" s="472"/>
      <c r="I95" s="472"/>
      <c r="J95" s="472"/>
      <c r="K95" s="472"/>
      <c r="L95" s="472"/>
      <c r="M95" s="472"/>
      <c r="N95" s="472"/>
      <c r="O95" s="472"/>
      <c r="P95" s="472"/>
      <c r="Q95" s="796"/>
      <c r="R95" s="796"/>
      <c r="S95" s="799"/>
      <c r="T95" s="457"/>
      <c r="U95" s="457"/>
      <c r="V95" s="435"/>
      <c r="W95" s="432"/>
    </row>
    <row r="96" spans="2:23" ht="14.1" customHeight="1">
      <c r="B96" s="433"/>
      <c r="C96" s="534"/>
      <c r="D96" s="616" t="s">
        <v>1500</v>
      </c>
      <c r="E96" s="616"/>
      <c r="F96" s="616"/>
      <c r="G96" s="174"/>
      <c r="H96" s="472"/>
      <c r="I96" s="472"/>
      <c r="J96" s="472"/>
      <c r="K96" s="472"/>
      <c r="L96" s="472"/>
      <c r="M96" s="472"/>
      <c r="N96" s="472"/>
      <c r="O96" s="472"/>
      <c r="P96" s="472"/>
      <c r="Q96" s="796"/>
      <c r="R96" s="796"/>
      <c r="S96" s="799"/>
      <c r="T96" s="457"/>
      <c r="U96" s="457"/>
      <c r="V96" s="435"/>
      <c r="W96" s="432"/>
    </row>
    <row r="97" spans="2:23" ht="12.75" customHeight="1">
      <c r="B97" s="433"/>
      <c r="C97" s="750"/>
      <c r="D97" s="1272" t="s">
        <v>1507</v>
      </c>
      <c r="E97" s="1272"/>
      <c r="F97" s="820">
        <v>1</v>
      </c>
      <c r="G97" s="616" t="s">
        <v>107</v>
      </c>
      <c r="H97" s="472"/>
      <c r="I97" s="472"/>
      <c r="J97" s="472"/>
      <c r="K97" s="472"/>
      <c r="L97" s="472"/>
      <c r="M97" s="472"/>
      <c r="N97" s="472"/>
      <c r="O97" s="472"/>
      <c r="P97" s="472"/>
      <c r="Q97" s="796"/>
      <c r="R97" s="796"/>
      <c r="S97" s="799"/>
      <c r="T97" s="457"/>
      <c r="U97" s="457"/>
      <c r="V97" s="435"/>
      <c r="W97" s="432"/>
    </row>
    <row r="98" spans="2:23" ht="14.1" customHeight="1">
      <c r="B98" s="433"/>
      <c r="C98" s="534"/>
      <c r="D98" s="534"/>
      <c r="E98" s="472"/>
      <c r="F98" s="616"/>
      <c r="G98" s="174"/>
      <c r="H98" s="472"/>
      <c r="I98" s="472"/>
      <c r="J98" s="472"/>
      <c r="K98" s="472"/>
      <c r="L98" s="472"/>
      <c r="M98" s="472"/>
      <c r="N98" s="472"/>
      <c r="O98" s="472"/>
      <c r="P98" s="472"/>
      <c r="Q98" s="796"/>
      <c r="R98" s="796"/>
      <c r="S98" s="799"/>
      <c r="T98" s="457"/>
      <c r="U98" s="457"/>
      <c r="V98" s="435"/>
      <c r="W98" s="432"/>
    </row>
    <row r="99" spans="2:23" ht="14.1" customHeight="1">
      <c r="B99" s="433"/>
      <c r="C99" s="205" t="s">
        <v>1573</v>
      </c>
      <c r="D99" s="174" t="str">
        <f>PLANILHA!B32</f>
        <v>Armação em aço Aço CA-50  - Fornecimento, corte, dobra e armação (Estacas e Base)</v>
      </c>
      <c r="E99" s="472"/>
      <c r="F99" s="616"/>
      <c r="G99" s="174"/>
      <c r="H99" s="472"/>
      <c r="I99" s="472"/>
      <c r="J99" s="472"/>
      <c r="K99" s="472"/>
      <c r="L99" s="472"/>
      <c r="M99" s="472"/>
      <c r="N99" s="472"/>
      <c r="O99" s="472"/>
      <c r="P99" s="472"/>
      <c r="S99" s="799"/>
      <c r="T99" s="457"/>
      <c r="U99" s="457"/>
      <c r="V99" s="435"/>
      <c r="W99" s="432"/>
    </row>
    <row r="100" spans="2:23" ht="14.1" customHeight="1">
      <c r="B100" s="433"/>
      <c r="C100" s="534"/>
      <c r="D100" s="534"/>
      <c r="E100" s="472" t="s">
        <v>1659</v>
      </c>
      <c r="F100" s="616"/>
      <c r="G100" s="174"/>
      <c r="H100" s="472"/>
      <c r="I100" s="472"/>
      <c r="J100" s="472"/>
      <c r="K100" s="472"/>
      <c r="L100" s="472"/>
      <c r="M100" s="472"/>
      <c r="N100" s="472"/>
      <c r="O100" s="472"/>
      <c r="P100" s="472"/>
      <c r="Q100" s="795">
        <f>F103+F104+F105</f>
        <v>2565</v>
      </c>
      <c r="R100" s="796" t="s">
        <v>285</v>
      </c>
      <c r="S100" s="799"/>
      <c r="T100" s="457"/>
      <c r="U100" s="457"/>
      <c r="V100" s="435"/>
      <c r="W100" s="432"/>
    </row>
    <row r="101" spans="2:23" ht="14.1" customHeight="1">
      <c r="B101" s="433"/>
      <c r="C101" s="534"/>
      <c r="D101" s="534"/>
      <c r="E101" s="472"/>
      <c r="F101" s="616"/>
      <c r="G101" s="174"/>
      <c r="H101" s="472"/>
      <c r="I101" s="472"/>
      <c r="J101" s="472"/>
      <c r="K101" s="472"/>
      <c r="L101" s="472"/>
      <c r="M101" s="472"/>
      <c r="N101" s="472"/>
      <c r="O101" s="472"/>
      <c r="P101" s="472"/>
      <c r="Q101" s="796"/>
      <c r="R101" s="796"/>
      <c r="S101" s="799"/>
      <c r="T101" s="457"/>
      <c r="U101" s="457"/>
      <c r="V101" s="435"/>
      <c r="W101" s="432"/>
    </row>
    <row r="102" spans="2:23" ht="14.1" customHeight="1">
      <c r="B102" s="433"/>
      <c r="D102" s="616" t="s">
        <v>1500</v>
      </c>
      <c r="E102" s="472"/>
      <c r="F102" s="616"/>
      <c r="G102" s="174"/>
      <c r="H102" s="472"/>
      <c r="I102" s="472"/>
      <c r="J102" s="472"/>
      <c r="K102" s="472"/>
      <c r="L102" s="472"/>
      <c r="M102" s="472"/>
      <c r="N102" s="472"/>
      <c r="O102" s="472"/>
      <c r="P102" s="472"/>
      <c r="Q102" s="796"/>
      <c r="R102" s="796"/>
      <c r="S102" s="799"/>
      <c r="T102" s="457"/>
      <c r="U102" s="457"/>
      <c r="V102" s="435"/>
      <c r="W102" s="432"/>
    </row>
    <row r="103" spans="2:23">
      <c r="B103" s="433"/>
      <c r="D103" s="1272" t="s">
        <v>1660</v>
      </c>
      <c r="E103" s="1272"/>
      <c r="F103" s="820">
        <v>1311</v>
      </c>
      <c r="G103" s="472" t="s">
        <v>285</v>
      </c>
      <c r="H103" s="472"/>
      <c r="I103" s="472"/>
      <c r="J103" s="472"/>
      <c r="K103" s="472"/>
      <c r="L103" s="472"/>
      <c r="M103" s="472"/>
      <c r="N103" s="472"/>
      <c r="O103" s="472"/>
      <c r="P103" s="472"/>
      <c r="Q103" s="796"/>
      <c r="R103" s="796"/>
      <c r="S103" s="799"/>
      <c r="T103" s="457"/>
      <c r="U103" s="457"/>
      <c r="V103" s="435"/>
      <c r="W103" s="432"/>
    </row>
    <row r="104" spans="2:23">
      <c r="B104" s="433"/>
      <c r="D104" s="1272" t="s">
        <v>1661</v>
      </c>
      <c r="E104" s="1272"/>
      <c r="F104" s="820">
        <v>210</v>
      </c>
      <c r="G104" s="472" t="s">
        <v>285</v>
      </c>
      <c r="H104" s="472"/>
      <c r="I104" s="472"/>
      <c r="J104" s="472"/>
      <c r="K104" s="472"/>
      <c r="L104" s="472"/>
      <c r="M104" s="472"/>
      <c r="N104" s="472"/>
      <c r="O104" s="472"/>
      <c r="P104" s="472"/>
      <c r="Q104" s="796"/>
      <c r="R104" s="796"/>
      <c r="S104" s="799"/>
      <c r="T104" s="457"/>
      <c r="U104" s="457"/>
      <c r="V104" s="435"/>
      <c r="W104" s="432"/>
    </row>
    <row r="105" spans="2:23" ht="14.1" customHeight="1">
      <c r="B105" s="433"/>
      <c r="C105" s="534"/>
      <c r="D105" s="1272" t="s">
        <v>1662</v>
      </c>
      <c r="E105" s="1272"/>
      <c r="F105" s="820">
        <v>1044</v>
      </c>
      <c r="G105" s="472" t="s">
        <v>285</v>
      </c>
      <c r="H105" s="472"/>
      <c r="I105" s="472"/>
      <c r="J105" s="472"/>
      <c r="K105" s="472"/>
      <c r="L105" s="472"/>
      <c r="M105" s="472"/>
      <c r="N105" s="472"/>
      <c r="O105" s="472"/>
      <c r="P105" s="472"/>
      <c r="Q105" s="796"/>
      <c r="R105" s="796"/>
      <c r="S105" s="799"/>
      <c r="T105" s="457"/>
      <c r="U105" s="457"/>
      <c r="V105" s="435"/>
      <c r="W105" s="432"/>
    </row>
    <row r="106" spans="2:23" ht="14.1" customHeight="1">
      <c r="B106" s="433"/>
      <c r="C106" s="534"/>
      <c r="D106" s="750"/>
      <c r="E106" s="750"/>
      <c r="F106" s="616"/>
      <c r="G106" s="174"/>
      <c r="H106" s="472"/>
      <c r="I106" s="472"/>
      <c r="J106" s="472"/>
      <c r="K106" s="472"/>
      <c r="L106" s="472"/>
      <c r="M106" s="472"/>
      <c r="N106" s="472"/>
      <c r="O106" s="472"/>
      <c r="P106" s="472"/>
      <c r="Q106" s="796"/>
      <c r="R106" s="796"/>
      <c r="S106" s="799"/>
      <c r="T106" s="457"/>
      <c r="U106" s="457"/>
      <c r="V106" s="435"/>
      <c r="W106" s="432"/>
    </row>
    <row r="107" spans="2:23" ht="14.1" customHeight="1">
      <c r="B107" s="433"/>
      <c r="C107" s="534" t="s">
        <v>1499</v>
      </c>
      <c r="D107" s="616" t="s">
        <v>1663</v>
      </c>
      <c r="E107" s="472"/>
      <c r="F107" s="616"/>
      <c r="G107" s="174"/>
      <c r="H107" s="472"/>
      <c r="I107" s="472"/>
      <c r="J107" s="472"/>
      <c r="K107" s="472"/>
      <c r="L107" s="472"/>
      <c r="M107" s="472"/>
      <c r="N107" s="472"/>
      <c r="O107" s="472"/>
      <c r="P107" s="472"/>
      <c r="Q107" s="796"/>
      <c r="R107" s="796"/>
      <c r="S107" s="799"/>
      <c r="T107" s="457"/>
      <c r="U107" s="457"/>
      <c r="V107" s="435"/>
      <c r="W107" s="432"/>
    </row>
    <row r="108" spans="2:23" ht="14.1" customHeight="1">
      <c r="B108" s="433"/>
      <c r="C108" s="534"/>
      <c r="D108" s="534"/>
      <c r="E108" s="472"/>
      <c r="F108" s="616"/>
      <c r="G108" s="174"/>
      <c r="H108" s="472"/>
      <c r="I108" s="472"/>
      <c r="J108" s="472"/>
      <c r="K108" s="472"/>
      <c r="L108" s="472"/>
      <c r="M108" s="472"/>
      <c r="N108" s="472"/>
      <c r="O108" s="472"/>
      <c r="P108" s="472"/>
      <c r="S108" s="799"/>
      <c r="T108" s="457"/>
      <c r="U108" s="457"/>
      <c r="V108" s="435"/>
      <c r="W108" s="432"/>
    </row>
    <row r="109" spans="2:23" ht="14.1" customHeight="1">
      <c r="B109" s="433"/>
      <c r="C109" s="205" t="s">
        <v>1574</v>
      </c>
      <c r="D109" s="174" t="s">
        <v>1512</v>
      </c>
      <c r="E109" s="472"/>
      <c r="F109" s="616"/>
      <c r="G109" s="174"/>
      <c r="H109" s="472"/>
      <c r="I109" s="472"/>
      <c r="J109" s="472"/>
      <c r="K109" s="472"/>
      <c r="L109" s="472"/>
      <c r="M109" s="472"/>
      <c r="N109" s="472"/>
      <c r="O109" s="472"/>
      <c r="P109" s="472"/>
      <c r="Q109" s="796"/>
      <c r="R109" s="796"/>
      <c r="S109" s="799"/>
      <c r="T109" s="457"/>
      <c r="U109" s="457"/>
      <c r="V109" s="435"/>
      <c r="W109" s="432"/>
    </row>
    <row r="110" spans="2:23" ht="14.1" customHeight="1">
      <c r="B110" s="433"/>
      <c r="C110" s="534"/>
      <c r="D110" s="534"/>
      <c r="E110" s="472" t="s">
        <v>1513</v>
      </c>
      <c r="F110" s="616"/>
      <c r="G110" s="174"/>
      <c r="H110" s="472"/>
      <c r="I110" s="472"/>
      <c r="J110" s="472"/>
      <c r="K110" s="472"/>
      <c r="L110" s="472"/>
      <c r="M110" s="472"/>
      <c r="N110" s="472"/>
      <c r="O110" s="472"/>
      <c r="P110" s="472"/>
      <c r="Q110" s="795">
        <f>F113*F114</f>
        <v>19.653803640857745</v>
      </c>
      <c r="R110" s="796" t="s">
        <v>17</v>
      </c>
      <c r="S110" s="799"/>
      <c r="T110" s="457"/>
      <c r="U110" s="457"/>
      <c r="V110" s="435"/>
      <c r="W110" s="432"/>
    </row>
    <row r="111" spans="2:23" ht="14.1" customHeight="1">
      <c r="B111" s="433"/>
      <c r="C111" s="534"/>
      <c r="D111" s="534"/>
      <c r="E111" s="472"/>
      <c r="F111" s="616"/>
      <c r="G111" s="174"/>
      <c r="H111" s="472"/>
      <c r="I111" s="472"/>
      <c r="J111" s="472"/>
      <c r="K111" s="472"/>
      <c r="L111" s="472"/>
      <c r="M111" s="472"/>
      <c r="N111" s="472"/>
      <c r="O111" s="472"/>
      <c r="P111" s="472"/>
      <c r="Q111" s="796"/>
      <c r="R111" s="796"/>
      <c r="S111" s="799"/>
      <c r="T111" s="457"/>
      <c r="U111" s="457"/>
      <c r="V111" s="435"/>
      <c r="W111" s="432"/>
    </row>
    <row r="112" spans="2:23" ht="14.1" customHeight="1">
      <c r="B112" s="433"/>
      <c r="D112" s="616" t="s">
        <v>1500</v>
      </c>
      <c r="E112" s="534"/>
      <c r="F112" s="472"/>
      <c r="G112" s="174"/>
      <c r="H112" s="472"/>
      <c r="I112" s="472"/>
      <c r="J112" s="472"/>
      <c r="K112" s="472"/>
      <c r="L112" s="472"/>
      <c r="M112" s="472"/>
      <c r="N112" s="472"/>
      <c r="O112" s="472"/>
      <c r="P112" s="472"/>
      <c r="Q112" s="796"/>
      <c r="R112" s="796"/>
      <c r="S112" s="799"/>
      <c r="T112" s="457"/>
      <c r="U112" s="457"/>
      <c r="V112" s="435"/>
      <c r="W112" s="432"/>
    </row>
    <row r="113" spans="2:23">
      <c r="B113" s="433"/>
      <c r="D113" s="1272" t="s">
        <v>1514</v>
      </c>
      <c r="E113" s="1272"/>
      <c r="F113" s="820">
        <f>2*PI()*(7.36/2)</f>
        <v>23.122121930420878</v>
      </c>
      <c r="G113" s="472" t="s">
        <v>0</v>
      </c>
      <c r="H113" s="472"/>
      <c r="I113" s="472"/>
      <c r="J113" s="472"/>
      <c r="K113" s="472"/>
      <c r="L113" s="472"/>
      <c r="M113" s="472"/>
      <c r="N113" s="472"/>
      <c r="O113" s="472"/>
      <c r="P113" s="472"/>
      <c r="Q113" s="796"/>
      <c r="R113" s="796"/>
      <c r="S113" s="799"/>
      <c r="T113" s="457"/>
      <c r="U113" s="457"/>
      <c r="V113" s="435"/>
      <c r="W113" s="432"/>
    </row>
    <row r="114" spans="2:23">
      <c r="B114" s="433"/>
      <c r="D114" s="1272" t="s">
        <v>1515</v>
      </c>
      <c r="E114" s="1272"/>
      <c r="F114" s="820">
        <v>0.85</v>
      </c>
      <c r="G114" s="472" t="s">
        <v>0</v>
      </c>
      <c r="H114" s="472"/>
      <c r="I114" s="472"/>
      <c r="J114" s="472"/>
      <c r="K114" s="472"/>
      <c r="L114" s="472"/>
      <c r="M114" s="472"/>
      <c r="N114" s="472"/>
      <c r="O114" s="472"/>
      <c r="P114" s="472"/>
      <c r="Q114" s="796"/>
      <c r="R114" s="796"/>
      <c r="S114" s="799"/>
      <c r="T114" s="457"/>
      <c r="U114" s="457"/>
      <c r="V114" s="435"/>
      <c r="W114" s="432"/>
    </row>
    <row r="115" spans="2:23">
      <c r="B115" s="433"/>
      <c r="C115" s="750"/>
      <c r="D115" s="800"/>
      <c r="E115" s="472"/>
      <c r="F115" s="616"/>
      <c r="G115" s="174"/>
      <c r="H115" s="472"/>
      <c r="I115" s="472"/>
      <c r="J115" s="472"/>
      <c r="K115" s="472"/>
      <c r="L115" s="472"/>
      <c r="M115" s="472"/>
      <c r="N115" s="472"/>
      <c r="O115" s="472"/>
      <c r="P115" s="472"/>
      <c r="Q115" s="796"/>
      <c r="R115" s="796"/>
      <c r="S115" s="799"/>
      <c r="T115" s="457"/>
      <c r="U115" s="457"/>
      <c r="V115" s="435"/>
      <c r="W115" s="432"/>
    </row>
    <row r="116" spans="2:23">
      <c r="B116" s="433"/>
      <c r="C116" s="205" t="s">
        <v>1575</v>
      </c>
      <c r="D116" s="174" t="str">
        <f>PLANILHA!B34</f>
        <v>Concreto Estrutural p/ estruturas em contato com água bruta, água tratada, FCK = 30,0 MPA a/c máx. 0,55 L/KG - mín. de 320 KG de cimento/m³ (Laje de apoio)</v>
      </c>
      <c r="E116" s="472"/>
      <c r="F116" s="616"/>
      <c r="G116" s="174"/>
      <c r="H116" s="472"/>
      <c r="I116" s="472"/>
      <c r="J116" s="472"/>
      <c r="K116" s="472"/>
      <c r="L116" s="472"/>
      <c r="M116" s="472"/>
      <c r="N116" s="472"/>
      <c r="O116" s="472"/>
      <c r="P116" s="472"/>
      <c r="S116" s="799"/>
      <c r="T116" s="457"/>
      <c r="U116" s="457"/>
      <c r="V116" s="435"/>
      <c r="W116" s="432"/>
    </row>
    <row r="117" spans="2:23">
      <c r="B117" s="433"/>
      <c r="C117" s="750"/>
      <c r="D117" s="800"/>
      <c r="E117" s="472" t="s">
        <v>1516</v>
      </c>
      <c r="F117" s="616"/>
      <c r="G117" s="174"/>
      <c r="H117" s="472"/>
      <c r="I117" s="472"/>
      <c r="J117" s="472"/>
      <c r="K117" s="472"/>
      <c r="L117" s="472"/>
      <c r="M117" s="472"/>
      <c r="N117" s="472"/>
      <c r="O117" s="472"/>
      <c r="P117" s="472"/>
      <c r="Q117" s="795">
        <f>F120</f>
        <v>39.779298569096085</v>
      </c>
      <c r="R117" s="796" t="s">
        <v>18</v>
      </c>
      <c r="S117" s="799"/>
      <c r="T117" s="457"/>
      <c r="U117" s="457"/>
      <c r="V117" s="435"/>
      <c r="W117" s="432"/>
    </row>
    <row r="118" spans="2:23">
      <c r="B118" s="433"/>
      <c r="C118" s="750"/>
      <c r="D118" s="800"/>
      <c r="E118" s="472"/>
      <c r="F118" s="616"/>
      <c r="G118" s="174"/>
      <c r="H118" s="472"/>
      <c r="I118" s="472"/>
      <c r="J118" s="472"/>
      <c r="K118" s="472"/>
      <c r="L118" s="472"/>
      <c r="M118" s="472"/>
      <c r="N118" s="472"/>
      <c r="O118" s="472"/>
      <c r="P118" s="472"/>
      <c r="Q118" s="796"/>
      <c r="R118" s="796"/>
      <c r="S118" s="799"/>
      <c r="T118" s="457"/>
      <c r="U118" s="457"/>
      <c r="V118" s="435"/>
      <c r="W118" s="432"/>
    </row>
    <row r="119" spans="2:23">
      <c r="B119" s="433"/>
      <c r="D119" s="616" t="s">
        <v>1500</v>
      </c>
      <c r="E119" s="800"/>
      <c r="F119" s="472"/>
      <c r="G119" s="174"/>
      <c r="H119" s="472"/>
      <c r="I119" s="472"/>
      <c r="J119" s="472"/>
      <c r="K119" s="472"/>
      <c r="L119" s="472"/>
      <c r="M119" s="472"/>
      <c r="N119" s="472"/>
      <c r="O119" s="472"/>
      <c r="P119" s="472"/>
      <c r="Q119" s="796"/>
      <c r="R119" s="796"/>
      <c r="S119" s="799"/>
      <c r="T119" s="457"/>
      <c r="U119" s="457"/>
      <c r="V119" s="435"/>
      <c r="W119" s="432"/>
    </row>
    <row r="120" spans="2:23">
      <c r="B120" s="433"/>
      <c r="D120" s="616" t="s">
        <v>1664</v>
      </c>
      <c r="E120" s="800"/>
      <c r="F120" s="821">
        <f>(((PI()*F121^2)*F122)*1.1)</f>
        <v>39.779298569096085</v>
      </c>
      <c r="G120" s="177" t="s">
        <v>18</v>
      </c>
      <c r="H120" s="472"/>
      <c r="I120" s="472"/>
      <c r="J120" s="472"/>
      <c r="K120" s="472"/>
      <c r="L120" s="472"/>
      <c r="M120" s="472"/>
      <c r="N120" s="472"/>
      <c r="O120" s="472"/>
      <c r="P120" s="472"/>
      <c r="Q120" s="796"/>
      <c r="R120" s="796"/>
      <c r="S120" s="799"/>
      <c r="T120" s="457"/>
      <c r="U120" s="457"/>
      <c r="V120" s="435"/>
      <c r="W120" s="432"/>
    </row>
    <row r="121" spans="2:23">
      <c r="B121" s="433"/>
      <c r="D121" s="616" t="s">
        <v>1503</v>
      </c>
      <c r="E121" s="800"/>
      <c r="F121" s="820">
        <f>7.36/2</f>
        <v>3.68</v>
      </c>
      <c r="G121" s="616" t="s">
        <v>0</v>
      </c>
      <c r="H121" s="472"/>
      <c r="I121" s="472"/>
      <c r="J121" s="472"/>
      <c r="K121" s="472"/>
      <c r="L121" s="472"/>
      <c r="M121" s="472"/>
      <c r="N121" s="472"/>
      <c r="O121" s="472"/>
      <c r="P121" s="472"/>
      <c r="Q121" s="796"/>
      <c r="R121" s="796"/>
      <c r="S121" s="799"/>
      <c r="T121" s="457"/>
      <c r="U121" s="457"/>
      <c r="V121" s="435"/>
      <c r="W121" s="432"/>
    </row>
    <row r="122" spans="2:23">
      <c r="B122" s="433"/>
      <c r="D122" s="616" t="s">
        <v>1504</v>
      </c>
      <c r="E122" s="800"/>
      <c r="F122" s="820">
        <v>0.85</v>
      </c>
      <c r="G122" s="616" t="s">
        <v>0</v>
      </c>
      <c r="H122" s="472"/>
      <c r="I122" s="472"/>
      <c r="J122" s="472"/>
      <c r="K122" s="472"/>
      <c r="L122" s="472"/>
      <c r="M122" s="472"/>
      <c r="N122" s="472"/>
      <c r="O122" s="472"/>
      <c r="P122" s="472"/>
      <c r="Q122" s="796"/>
      <c r="R122" s="796"/>
      <c r="S122" s="799"/>
      <c r="T122" s="457"/>
      <c r="U122" s="457"/>
      <c r="V122" s="435"/>
      <c r="W122" s="432"/>
    </row>
    <row r="123" spans="2:23" ht="15.75" customHeight="1">
      <c r="B123" s="433"/>
      <c r="D123" s="750" t="s">
        <v>1621</v>
      </c>
      <c r="E123" s="534"/>
      <c r="F123" s="822">
        <v>10</v>
      </c>
      <c r="G123" s="472" t="s">
        <v>1605</v>
      </c>
      <c r="H123" s="472"/>
      <c r="I123" s="472"/>
      <c r="J123" s="472"/>
      <c r="K123" s="472"/>
      <c r="L123" s="472"/>
      <c r="M123" s="472"/>
      <c r="N123" s="472"/>
      <c r="O123" s="472"/>
      <c r="P123" s="472"/>
      <c r="Q123" s="796"/>
      <c r="R123" s="796"/>
      <c r="S123" s="799"/>
      <c r="T123" s="457"/>
      <c r="U123" s="457"/>
      <c r="V123" s="435"/>
      <c r="W123" s="432"/>
    </row>
    <row r="124" spans="2:23">
      <c r="B124" s="433"/>
      <c r="C124" s="750"/>
      <c r="D124" s="800"/>
      <c r="E124" s="472"/>
      <c r="F124" s="616"/>
      <c r="G124" s="174"/>
      <c r="H124" s="472"/>
      <c r="I124" s="472"/>
      <c r="J124" s="472"/>
      <c r="K124" s="472"/>
      <c r="L124" s="472"/>
      <c r="M124" s="472"/>
      <c r="N124" s="472"/>
      <c r="O124" s="472"/>
      <c r="P124" s="472"/>
      <c r="Q124" s="796"/>
      <c r="R124" s="796"/>
      <c r="S124" s="799"/>
      <c r="T124" s="457"/>
      <c r="U124" s="457"/>
      <c r="V124" s="435"/>
      <c r="W124" s="432"/>
    </row>
    <row r="125" spans="2:23">
      <c r="B125" s="433"/>
      <c r="C125" s="534" t="s">
        <v>1499</v>
      </c>
      <c r="D125" s="616" t="s">
        <v>1665</v>
      </c>
      <c r="E125" s="472"/>
      <c r="F125" s="616"/>
      <c r="G125" s="174"/>
      <c r="H125" s="472"/>
      <c r="I125" s="472"/>
      <c r="J125" s="472"/>
      <c r="K125" s="472"/>
      <c r="L125" s="472"/>
      <c r="M125" s="472"/>
      <c r="N125" s="472"/>
      <c r="O125" s="472"/>
      <c r="P125" s="472"/>
      <c r="Q125" s="796"/>
      <c r="R125" s="796"/>
      <c r="S125" s="799"/>
      <c r="T125" s="457"/>
      <c r="U125" s="457"/>
      <c r="V125" s="435"/>
      <c r="W125" s="432"/>
    </row>
    <row r="126" spans="2:23">
      <c r="B126" s="433"/>
      <c r="C126" s="534"/>
      <c r="D126" s="616"/>
      <c r="E126" s="472"/>
      <c r="F126" s="616"/>
      <c r="G126" s="174"/>
      <c r="H126" s="472"/>
      <c r="I126" s="472"/>
      <c r="J126" s="472"/>
      <c r="K126" s="472"/>
      <c r="L126" s="472"/>
      <c r="M126" s="472"/>
      <c r="N126" s="472"/>
      <c r="O126" s="472"/>
      <c r="P126" s="472"/>
      <c r="Q126" s="796"/>
      <c r="R126" s="796"/>
      <c r="S126" s="799"/>
      <c r="T126" s="457"/>
      <c r="U126" s="457"/>
      <c r="V126" s="435"/>
      <c r="W126" s="432"/>
    </row>
    <row r="127" spans="2:23">
      <c r="B127" s="433"/>
      <c r="C127" s="205" t="s">
        <v>1463</v>
      </c>
      <c r="D127" s="174" t="str">
        <f>PLANILHA!B35</f>
        <v>Mão de obra para construção da base de apoio do Reservatório 500 m³</v>
      </c>
      <c r="E127" s="472"/>
      <c r="F127" s="616"/>
      <c r="G127" s="174"/>
      <c r="H127" s="472"/>
      <c r="I127" s="472"/>
      <c r="J127" s="472"/>
      <c r="K127" s="472"/>
      <c r="L127" s="472"/>
      <c r="M127" s="472"/>
      <c r="N127" s="472"/>
      <c r="O127" s="472"/>
      <c r="P127" s="472"/>
      <c r="Q127" s="796"/>
      <c r="R127" s="796"/>
      <c r="S127" s="799"/>
      <c r="T127" s="457"/>
      <c r="U127" s="457"/>
      <c r="V127" s="435"/>
      <c r="W127" s="432"/>
    </row>
    <row r="128" spans="2:23">
      <c r="B128" s="433"/>
      <c r="C128" s="534"/>
      <c r="D128" s="616"/>
      <c r="E128" s="472"/>
      <c r="F128" s="616"/>
      <c r="G128" s="174"/>
      <c r="H128" s="472"/>
      <c r="I128" s="472"/>
      <c r="J128" s="472"/>
      <c r="K128" s="472"/>
      <c r="L128" s="472"/>
      <c r="M128" s="472"/>
      <c r="N128" s="472"/>
      <c r="O128" s="472"/>
      <c r="P128" s="472"/>
      <c r="Q128" s="796"/>
      <c r="R128" s="796"/>
      <c r="S128" s="799"/>
      <c r="T128" s="457"/>
      <c r="U128" s="457"/>
      <c r="V128" s="435"/>
      <c r="W128" s="432"/>
    </row>
    <row r="129" spans="2:23">
      <c r="B129" s="433"/>
      <c r="D129" s="1258" t="s">
        <v>102</v>
      </c>
      <c r="E129" s="1259"/>
      <c r="F129" s="1259"/>
      <c r="G129" s="1259"/>
      <c r="H129" s="1259"/>
      <c r="I129" s="1259"/>
      <c r="J129" s="1260"/>
      <c r="K129" s="524"/>
      <c r="L129" s="524"/>
      <c r="M129" s="137"/>
      <c r="N129" s="135" t="s">
        <v>1173</v>
      </c>
      <c r="O129" s="135"/>
      <c r="P129" s="1091" t="s">
        <v>1493</v>
      </c>
      <c r="Q129" s="1091"/>
      <c r="R129" s="524"/>
      <c r="S129" s="524"/>
      <c r="T129" s="524"/>
      <c r="U129" s="524"/>
      <c r="V129" s="435"/>
      <c r="W129" s="432"/>
    </row>
    <row r="130" spans="2:23">
      <c r="D130" s="829"/>
      <c r="E130" s="829"/>
      <c r="F130" s="829"/>
      <c r="G130" s="829"/>
      <c r="H130" s="829"/>
      <c r="I130" s="829"/>
      <c r="J130" s="829"/>
      <c r="K130" s="524"/>
      <c r="L130" s="524"/>
      <c r="M130" s="802"/>
      <c r="N130" s="823">
        <v>1</v>
      </c>
      <c r="O130" s="754" t="s">
        <v>987</v>
      </c>
      <c r="P130" s="823">
        <v>15</v>
      </c>
      <c r="Q130" s="754" t="s">
        <v>107</v>
      </c>
      <c r="R130" s="803"/>
      <c r="S130" s="803"/>
      <c r="T130" s="525"/>
      <c r="U130" s="525"/>
      <c r="V130" s="435"/>
      <c r="W130" s="432"/>
    </row>
    <row r="131" spans="2:23" ht="12.75" customHeight="1">
      <c r="D131" s="825">
        <v>2</v>
      </c>
      <c r="E131" s="826" t="s">
        <v>108</v>
      </c>
      <c r="F131" s="1306" t="s">
        <v>1666</v>
      </c>
      <c r="G131" s="1307"/>
      <c r="H131" s="1308"/>
      <c r="I131" s="825">
        <f>D131*$N$130*$P$130</f>
        <v>30</v>
      </c>
      <c r="J131" s="826" t="s">
        <v>108</v>
      </c>
      <c r="K131" s="405"/>
      <c r="L131" s="405"/>
      <c r="M131" s="140"/>
      <c r="N131" s="135"/>
      <c r="O131" s="135"/>
      <c r="P131" s="135"/>
      <c r="Q131" s="135"/>
      <c r="R131" s="135"/>
      <c r="S131" s="135"/>
      <c r="T131" s="135"/>
      <c r="U131" s="135"/>
      <c r="V131" s="435"/>
      <c r="W131" s="432"/>
    </row>
    <row r="132" spans="2:23" ht="12.75" customHeight="1">
      <c r="B132" s="433"/>
      <c r="D132" s="93">
        <v>8</v>
      </c>
      <c r="E132" s="394" t="s">
        <v>108</v>
      </c>
      <c r="F132" s="1264" t="s">
        <v>1668</v>
      </c>
      <c r="G132" s="1265"/>
      <c r="H132" s="1266"/>
      <c r="I132" s="93">
        <f>D132*$N$130*$P$130</f>
        <v>120</v>
      </c>
      <c r="J132" s="394" t="s">
        <v>108</v>
      </c>
      <c r="K132" s="405"/>
      <c r="L132" s="405"/>
      <c r="M132" s="140"/>
      <c r="N132" s="524"/>
      <c r="O132" s="135"/>
      <c r="P132" s="524"/>
      <c r="Q132" s="524"/>
      <c r="R132" s="524"/>
      <c r="S132" s="524"/>
      <c r="T132" s="524"/>
      <c r="U132" s="524"/>
      <c r="V132" s="435"/>
      <c r="W132" s="432"/>
    </row>
    <row r="133" spans="2:23" ht="12.75" customHeight="1">
      <c r="B133" s="433"/>
      <c r="D133" s="93">
        <v>8</v>
      </c>
      <c r="E133" s="394" t="s">
        <v>108</v>
      </c>
      <c r="F133" s="1264" t="s">
        <v>243</v>
      </c>
      <c r="G133" s="1265"/>
      <c r="H133" s="1266"/>
      <c r="I133" s="93">
        <f>D133*$N$130*$P$130*2</f>
        <v>240</v>
      </c>
      <c r="J133" s="394" t="s">
        <v>108</v>
      </c>
      <c r="K133" s="405"/>
      <c r="L133" s="405"/>
      <c r="M133" s="140"/>
      <c r="N133" s="134"/>
      <c r="O133" s="405"/>
      <c r="P133" s="1274"/>
      <c r="Q133" s="1274"/>
      <c r="R133" s="134"/>
      <c r="S133" s="405"/>
      <c r="V133" s="435"/>
      <c r="W133" s="432"/>
    </row>
    <row r="134" spans="2:23" ht="12.75" customHeight="1">
      <c r="B134" s="433"/>
      <c r="D134" s="93">
        <v>8</v>
      </c>
      <c r="E134" s="394" t="s">
        <v>108</v>
      </c>
      <c r="F134" s="1264" t="s">
        <v>1667</v>
      </c>
      <c r="G134" s="1265"/>
      <c r="H134" s="1266"/>
      <c r="I134" s="93">
        <f>D134*$N$130*$P$130*2</f>
        <v>240</v>
      </c>
      <c r="J134" s="394" t="s">
        <v>108</v>
      </c>
      <c r="K134" s="405"/>
      <c r="L134" s="405"/>
      <c r="M134" s="761"/>
      <c r="N134" s="406"/>
      <c r="O134" s="405"/>
      <c r="P134" s="1274"/>
      <c r="Q134" s="1274"/>
      <c r="R134" s="134"/>
      <c r="S134" s="405"/>
      <c r="V134" s="435"/>
      <c r="W134" s="432"/>
    </row>
    <row r="135" spans="2:23">
      <c r="B135" s="433"/>
      <c r="C135" s="804"/>
      <c r="D135" s="804"/>
      <c r="E135" s="804"/>
      <c r="F135" s="804"/>
      <c r="G135" s="804"/>
      <c r="H135" s="805"/>
      <c r="I135" s="528"/>
      <c r="J135" s="472"/>
      <c r="K135" s="472"/>
      <c r="L135" s="472"/>
      <c r="M135" s="135"/>
      <c r="N135" s="133"/>
      <c r="O135" s="135"/>
      <c r="P135" s="1303"/>
      <c r="Q135" s="1303"/>
      <c r="R135" s="134"/>
      <c r="S135" s="405"/>
      <c r="T135" s="457"/>
      <c r="U135" s="457"/>
      <c r="V135" s="435"/>
      <c r="W135" s="432"/>
    </row>
    <row r="136" spans="2:23">
      <c r="B136" s="433"/>
      <c r="D136" s="1304" t="s">
        <v>115</v>
      </c>
      <c r="E136" s="1305"/>
      <c r="F136" s="1305"/>
      <c r="G136" s="1305"/>
      <c r="H136" s="1305"/>
      <c r="I136" s="1305"/>
      <c r="J136" s="1305"/>
      <c r="K136" s="472"/>
      <c r="L136" s="472"/>
      <c r="M136" s="472"/>
      <c r="N136" s="472"/>
      <c r="O136" s="472"/>
      <c r="P136" s="479"/>
      <c r="Q136" s="534"/>
      <c r="R136" s="806"/>
      <c r="S136" s="804"/>
      <c r="T136" s="88"/>
      <c r="U136" s="88"/>
      <c r="V136" s="435"/>
      <c r="W136" s="432"/>
    </row>
    <row r="137" spans="2:23">
      <c r="B137" s="433"/>
      <c r="C137" s="806"/>
      <c r="D137" s="236" t="str">
        <f>PLANILHA!A36</f>
        <v>2.4.1</v>
      </c>
      <c r="E137" s="807" t="s">
        <v>1669</v>
      </c>
      <c r="F137" s="489"/>
      <c r="G137" s="397"/>
      <c r="H137" s="472"/>
      <c r="I137" s="472"/>
      <c r="J137" s="472"/>
      <c r="K137" s="472"/>
      <c r="L137" s="472"/>
      <c r="M137" s="472"/>
      <c r="N137" s="472"/>
      <c r="O137" s="472"/>
      <c r="P137" s="479"/>
      <c r="Q137" s="795">
        <f>I131</f>
        <v>30</v>
      </c>
      <c r="R137" s="806" t="s">
        <v>108</v>
      </c>
      <c r="S137" s="804"/>
      <c r="T137" s="88"/>
      <c r="U137" s="88"/>
      <c r="V137" s="435"/>
      <c r="W137" s="432"/>
    </row>
    <row r="138" spans="2:23">
      <c r="B138" s="433"/>
      <c r="C138" s="806"/>
      <c r="D138" s="236" t="str">
        <f>PLANILHA!A37</f>
        <v>2.4.2</v>
      </c>
      <c r="E138" s="807" t="s">
        <v>1670</v>
      </c>
      <c r="F138" s="489"/>
      <c r="G138" s="397"/>
      <c r="H138" s="472"/>
      <c r="I138" s="472"/>
      <c r="J138" s="472"/>
      <c r="K138" s="472"/>
      <c r="L138" s="472"/>
      <c r="M138" s="472"/>
      <c r="N138" s="472"/>
      <c r="O138" s="472"/>
      <c r="P138" s="479"/>
      <c r="Q138" s="795">
        <f>I132</f>
        <v>120</v>
      </c>
      <c r="R138" s="806" t="s">
        <v>108</v>
      </c>
      <c r="S138" s="804"/>
      <c r="T138" s="88"/>
      <c r="U138" s="88"/>
      <c r="V138" s="435"/>
      <c r="W138" s="432"/>
    </row>
    <row r="139" spans="2:23">
      <c r="B139" s="433"/>
      <c r="C139" s="806"/>
      <c r="D139" s="236" t="str">
        <f>PLANILHA!A38</f>
        <v>2.4.3</v>
      </c>
      <c r="E139" s="807" t="s">
        <v>1671</v>
      </c>
      <c r="F139" s="489"/>
      <c r="G139" s="397"/>
      <c r="H139" s="472"/>
      <c r="I139" s="472"/>
      <c r="J139" s="472"/>
      <c r="K139" s="472"/>
      <c r="L139" s="472"/>
      <c r="M139" s="472"/>
      <c r="N139" s="472"/>
      <c r="O139" s="472"/>
      <c r="P139" s="479"/>
      <c r="Q139" s="795">
        <f>I133</f>
        <v>240</v>
      </c>
      <c r="R139" s="806" t="s">
        <v>108</v>
      </c>
      <c r="S139" s="804"/>
      <c r="T139" s="88"/>
      <c r="U139" s="88"/>
      <c r="V139" s="435"/>
      <c r="W139" s="432"/>
    </row>
    <row r="140" spans="2:23">
      <c r="B140" s="433"/>
      <c r="C140" s="806"/>
      <c r="D140" s="236" t="str">
        <f>PLANILHA!A39</f>
        <v>2.4.4</v>
      </c>
      <c r="E140" s="807" t="s">
        <v>1672</v>
      </c>
      <c r="F140" s="489"/>
      <c r="G140" s="487"/>
      <c r="H140" s="808"/>
      <c r="I140" s="808"/>
      <c r="J140" s="808"/>
      <c r="K140" s="808"/>
      <c r="L140" s="808"/>
      <c r="M140" s="808"/>
      <c r="N140" s="808"/>
      <c r="O140" s="808"/>
      <c r="P140" s="804"/>
      <c r="Q140" s="795">
        <f>I134</f>
        <v>240</v>
      </c>
      <c r="R140" s="806" t="s">
        <v>108</v>
      </c>
      <c r="S140" s="804"/>
      <c r="T140" s="88"/>
      <c r="U140" s="88"/>
      <c r="V140" s="435"/>
      <c r="W140" s="432"/>
    </row>
    <row r="141" spans="2:23">
      <c r="B141" s="433"/>
      <c r="C141" s="750"/>
      <c r="D141" s="800"/>
      <c r="E141" s="472"/>
      <c r="F141" s="616"/>
      <c r="G141" s="174"/>
      <c r="H141" s="472"/>
      <c r="I141" s="472"/>
      <c r="J141" s="472"/>
      <c r="K141" s="472"/>
      <c r="L141" s="472"/>
      <c r="M141" s="472"/>
      <c r="N141" s="472"/>
      <c r="O141" s="472"/>
      <c r="P141" s="472"/>
      <c r="Q141" s="796"/>
      <c r="R141" s="796"/>
      <c r="S141" s="799"/>
      <c r="T141" s="457"/>
      <c r="U141" s="457"/>
      <c r="V141" s="435"/>
      <c r="W141" s="432"/>
    </row>
    <row r="142" spans="2:23">
      <c r="B142" s="433"/>
      <c r="C142" s="831">
        <v>3</v>
      </c>
      <c r="D142" s="794" t="str">
        <f>PLANILHA!B41</f>
        <v>Interligações Hidraulicas</v>
      </c>
      <c r="E142" s="832"/>
      <c r="F142" s="833"/>
      <c r="G142" s="794"/>
      <c r="H142" s="832"/>
      <c r="I142" s="832"/>
      <c r="J142" s="832"/>
      <c r="K142" s="832"/>
      <c r="L142" s="832"/>
      <c r="M142" s="832"/>
      <c r="N142" s="832"/>
      <c r="O142" s="832"/>
      <c r="P142" s="832"/>
      <c r="Q142" s="834"/>
      <c r="R142" s="796"/>
      <c r="S142" s="799"/>
      <c r="T142" s="457"/>
      <c r="U142" s="457"/>
      <c r="V142" s="435"/>
      <c r="W142" s="432"/>
    </row>
    <row r="143" spans="2:23">
      <c r="B143" s="433"/>
      <c r="C143" s="205" t="s">
        <v>189</v>
      </c>
      <c r="D143" s="174" t="str">
        <f>PLANILHA!B42</f>
        <v>Fornecimento de materiais para o  novo reservatório de 500m3 a ser executado</v>
      </c>
      <c r="E143" s="472"/>
      <c r="F143" s="616"/>
      <c r="G143" s="174"/>
      <c r="H143" s="472"/>
      <c r="I143" s="472"/>
      <c r="J143" s="472"/>
      <c r="K143" s="472"/>
      <c r="L143" s="472"/>
      <c r="M143" s="472"/>
      <c r="N143" s="472"/>
      <c r="O143" s="472"/>
      <c r="P143" s="472"/>
      <c r="Q143" s="796"/>
      <c r="R143" s="796"/>
      <c r="S143" s="799"/>
      <c r="T143" s="457"/>
      <c r="U143" s="457"/>
      <c r="V143" s="435"/>
      <c r="W143" s="432"/>
    </row>
    <row r="144" spans="2:23">
      <c r="B144" s="433"/>
      <c r="C144" s="205" t="s">
        <v>1580</v>
      </c>
      <c r="D144" s="174" t="str">
        <f>PLANILHA!B43</f>
        <v>Lista nº 01 - Materiais hidraulicos da saída do novo reservatório de 500m³</v>
      </c>
      <c r="E144" s="472"/>
      <c r="F144" s="616"/>
      <c r="G144" s="174"/>
      <c r="H144" s="472"/>
      <c r="I144" s="472"/>
      <c r="J144" s="472"/>
      <c r="K144" s="472"/>
      <c r="L144" s="472"/>
      <c r="M144" s="472"/>
      <c r="N144" s="472"/>
      <c r="O144" s="472"/>
      <c r="P144" s="472"/>
      <c r="Q144" s="796"/>
      <c r="R144" s="796"/>
      <c r="S144" s="799"/>
      <c r="T144" s="457"/>
      <c r="U144" s="457"/>
      <c r="V144" s="435"/>
      <c r="W144" s="432"/>
    </row>
    <row r="145" spans="2:23">
      <c r="B145" s="433"/>
      <c r="C145" s="750"/>
      <c r="D145" s="800"/>
      <c r="E145" s="472"/>
      <c r="F145" s="616"/>
      <c r="G145" s="174"/>
      <c r="H145" s="472"/>
      <c r="I145" s="472"/>
      <c r="J145" s="472"/>
      <c r="K145" s="472"/>
      <c r="L145" s="472"/>
      <c r="M145" s="472"/>
      <c r="N145" s="472"/>
      <c r="O145" s="472"/>
      <c r="P145" s="472"/>
      <c r="Q145" s="796"/>
      <c r="R145" s="796"/>
      <c r="S145" s="799"/>
      <c r="T145" s="457"/>
      <c r="U145" s="457"/>
      <c r="V145" s="435"/>
      <c r="W145" s="432"/>
    </row>
    <row r="146" spans="2:23" ht="12.75" customHeight="1">
      <c r="B146" s="433"/>
      <c r="C146" s="750"/>
      <c r="D146" s="1310" t="s">
        <v>10</v>
      </c>
      <c r="E146" s="1315" t="s">
        <v>828</v>
      </c>
      <c r="F146" s="1316"/>
      <c r="G146" s="1316"/>
      <c r="H146" s="1316"/>
      <c r="I146" s="1316"/>
      <c r="J146" s="1316"/>
      <c r="K146" s="1317"/>
      <c r="L146" s="1310" t="s">
        <v>1534</v>
      </c>
      <c r="M146" s="1310" t="s">
        <v>144</v>
      </c>
      <c r="N146" s="472"/>
      <c r="O146" s="472"/>
      <c r="P146" s="472"/>
      <c r="Q146" s="796"/>
      <c r="R146" s="796"/>
      <c r="S146" s="799"/>
      <c r="T146" s="457"/>
      <c r="U146" s="457"/>
      <c r="V146" s="435"/>
      <c r="W146" s="432"/>
    </row>
    <row r="147" spans="2:23" ht="12.75" customHeight="1">
      <c r="B147" s="433"/>
      <c r="C147" s="534"/>
      <c r="D147" s="1311"/>
      <c r="E147" s="1318"/>
      <c r="F147" s="1319"/>
      <c r="G147" s="1319"/>
      <c r="H147" s="1319"/>
      <c r="I147" s="1319"/>
      <c r="J147" s="1319"/>
      <c r="K147" s="1320"/>
      <c r="L147" s="1311"/>
      <c r="M147" s="1311"/>
      <c r="N147" s="472"/>
      <c r="O147" s="472"/>
      <c r="P147" s="472"/>
      <c r="Q147" s="796"/>
      <c r="R147" s="796"/>
      <c r="S147" s="799"/>
      <c r="T147" s="457"/>
      <c r="U147" s="457"/>
      <c r="V147" s="435"/>
      <c r="W147" s="432"/>
    </row>
    <row r="148" spans="2:23" ht="14.25">
      <c r="B148" s="433"/>
      <c r="C148" s="750"/>
      <c r="D148" s="771">
        <v>1</v>
      </c>
      <c r="E148" s="1285" t="s">
        <v>1536</v>
      </c>
      <c r="F148" s="1286"/>
      <c r="G148" s="1286"/>
      <c r="H148" s="1286"/>
      <c r="I148" s="1286"/>
      <c r="J148" s="1286"/>
      <c r="K148" s="1287"/>
      <c r="L148" s="772">
        <v>12</v>
      </c>
      <c r="M148" s="771" t="s">
        <v>1535</v>
      </c>
      <c r="N148" s="472"/>
      <c r="O148" s="472"/>
      <c r="P148" s="472"/>
      <c r="Q148" s="796"/>
      <c r="R148" s="796"/>
      <c r="S148" s="799"/>
      <c r="T148" s="457"/>
      <c r="U148" s="457"/>
      <c r="V148" s="435"/>
      <c r="W148" s="432"/>
    </row>
    <row r="149" spans="2:23" ht="14.25">
      <c r="B149" s="433"/>
      <c r="C149" s="205"/>
      <c r="D149" s="771">
        <v>2</v>
      </c>
      <c r="E149" s="1285" t="s">
        <v>1537</v>
      </c>
      <c r="F149" s="1286"/>
      <c r="G149" s="1286"/>
      <c r="H149" s="1286"/>
      <c r="I149" s="1286"/>
      <c r="J149" s="1286"/>
      <c r="K149" s="1287"/>
      <c r="L149" s="772">
        <v>1</v>
      </c>
      <c r="M149" s="771" t="s">
        <v>121</v>
      </c>
      <c r="N149" s="472"/>
      <c r="O149" s="472"/>
      <c r="P149" s="472"/>
      <c r="Q149" s="796"/>
      <c r="R149" s="796"/>
      <c r="S149" s="799"/>
      <c r="T149" s="457"/>
      <c r="U149" s="457"/>
      <c r="V149" s="435"/>
      <c r="W149" s="432"/>
    </row>
    <row r="150" spans="2:23" ht="14.25">
      <c r="B150" s="433"/>
      <c r="C150" s="750"/>
      <c r="D150" s="771">
        <v>4</v>
      </c>
      <c r="E150" s="1285" t="s">
        <v>1538</v>
      </c>
      <c r="F150" s="1286"/>
      <c r="G150" s="1286"/>
      <c r="H150" s="1286"/>
      <c r="I150" s="1286"/>
      <c r="J150" s="1286"/>
      <c r="K150" s="1287"/>
      <c r="L150" s="772">
        <v>3</v>
      </c>
      <c r="M150" s="771" t="s">
        <v>121</v>
      </c>
      <c r="N150" s="472"/>
      <c r="O150" s="472"/>
      <c r="P150" s="472"/>
      <c r="Q150" s="796"/>
      <c r="R150" s="796"/>
      <c r="S150" s="799"/>
      <c r="T150" s="457"/>
      <c r="U150" s="457"/>
      <c r="V150" s="435"/>
      <c r="W150" s="432"/>
    </row>
    <row r="151" spans="2:23" ht="14.25">
      <c r="B151" s="433"/>
      <c r="C151" s="750"/>
      <c r="D151" s="771">
        <v>3</v>
      </c>
      <c r="E151" s="1285" t="s">
        <v>1601</v>
      </c>
      <c r="F151" s="1286"/>
      <c r="G151" s="1286"/>
      <c r="H151" s="1286"/>
      <c r="I151" s="1286"/>
      <c r="J151" s="1286"/>
      <c r="K151" s="1287"/>
      <c r="L151" s="772">
        <v>2</v>
      </c>
      <c r="M151" s="771" t="s">
        <v>121</v>
      </c>
      <c r="N151" s="472"/>
      <c r="O151" s="472"/>
      <c r="P151" s="472"/>
      <c r="Q151" s="796"/>
      <c r="R151" s="796"/>
      <c r="S151" s="799"/>
      <c r="T151" s="457"/>
      <c r="U151" s="457"/>
      <c r="V151" s="435"/>
      <c r="W151" s="432"/>
    </row>
    <row r="152" spans="2:23" ht="14.25">
      <c r="B152" s="433"/>
      <c r="C152" s="534"/>
      <c r="D152" s="771">
        <v>5</v>
      </c>
      <c r="E152" s="1285" t="s">
        <v>1539</v>
      </c>
      <c r="F152" s="1286"/>
      <c r="G152" s="1286"/>
      <c r="H152" s="1286"/>
      <c r="I152" s="1286"/>
      <c r="J152" s="1286"/>
      <c r="K152" s="1287"/>
      <c r="L152" s="772">
        <v>1</v>
      </c>
      <c r="M152" s="771" t="s">
        <v>121</v>
      </c>
      <c r="N152" s="472"/>
      <c r="O152" s="472"/>
      <c r="P152" s="472"/>
      <c r="Q152" s="796"/>
      <c r="R152" s="796"/>
      <c r="S152" s="799"/>
      <c r="T152" s="457"/>
      <c r="U152" s="457"/>
      <c r="V152" s="435"/>
      <c r="W152" s="432"/>
    </row>
    <row r="153" spans="2:23" ht="14.25">
      <c r="B153" s="433"/>
      <c r="C153" s="750"/>
      <c r="D153" s="771">
        <v>6</v>
      </c>
      <c r="E153" s="1285" t="s">
        <v>1599</v>
      </c>
      <c r="F153" s="1286"/>
      <c r="G153" s="1286"/>
      <c r="H153" s="1286"/>
      <c r="I153" s="1286"/>
      <c r="J153" s="1286"/>
      <c r="K153" s="1287"/>
      <c r="L153" s="772">
        <v>2</v>
      </c>
      <c r="M153" s="771" t="s">
        <v>121</v>
      </c>
      <c r="N153" s="472"/>
      <c r="O153" s="472"/>
      <c r="P153" s="472"/>
      <c r="Q153" s="796"/>
      <c r="R153" s="796"/>
      <c r="S153" s="799"/>
      <c r="T153" s="457"/>
      <c r="U153" s="457"/>
      <c r="V153" s="435"/>
      <c r="W153" s="432"/>
    </row>
    <row r="154" spans="2:23" ht="14.25">
      <c r="B154" s="433"/>
      <c r="C154" s="616"/>
      <c r="D154" s="771">
        <v>7</v>
      </c>
      <c r="E154" s="1285" t="s">
        <v>1600</v>
      </c>
      <c r="F154" s="1286"/>
      <c r="G154" s="1286"/>
      <c r="H154" s="1286"/>
      <c r="I154" s="1286"/>
      <c r="J154" s="1286"/>
      <c r="K154" s="1287"/>
      <c r="L154" s="793">
        <v>2</v>
      </c>
      <c r="M154" s="771" t="s">
        <v>121</v>
      </c>
      <c r="N154" s="472"/>
      <c r="O154" s="472"/>
      <c r="P154" s="472"/>
      <c r="Q154" s="796"/>
      <c r="R154" s="796"/>
      <c r="S154" s="799"/>
      <c r="T154" s="457"/>
      <c r="U154" s="457"/>
      <c r="V154" s="435"/>
      <c r="W154" s="432"/>
    </row>
    <row r="155" spans="2:23" ht="14.25">
      <c r="B155" s="433"/>
      <c r="C155" s="750"/>
      <c r="D155" s="771">
        <v>8</v>
      </c>
      <c r="E155" s="1285" t="s">
        <v>1598</v>
      </c>
      <c r="F155" s="1286"/>
      <c r="G155" s="1286"/>
      <c r="H155" s="1286"/>
      <c r="I155" s="1286"/>
      <c r="J155" s="1286"/>
      <c r="K155" s="1287"/>
      <c r="L155" s="772">
        <v>1</v>
      </c>
      <c r="M155" s="771" t="s">
        <v>121</v>
      </c>
      <c r="N155" s="472"/>
      <c r="O155" s="472"/>
      <c r="P155" s="472"/>
      <c r="Q155" s="796"/>
      <c r="R155" s="796"/>
      <c r="S155" s="799"/>
      <c r="T155" s="457"/>
      <c r="U155" s="457"/>
      <c r="V155" s="435"/>
      <c r="W155" s="432"/>
    </row>
    <row r="156" spans="2:23" ht="15" thickBot="1">
      <c r="B156" s="433"/>
      <c r="C156" s="750"/>
      <c r="D156" s="771">
        <v>9</v>
      </c>
      <c r="E156" s="1285" t="s">
        <v>1604</v>
      </c>
      <c r="F156" s="1286"/>
      <c r="G156" s="1286"/>
      <c r="H156" s="1286"/>
      <c r="I156" s="1286"/>
      <c r="J156" s="1286"/>
      <c r="K156" s="1287"/>
      <c r="L156" s="772">
        <v>1</v>
      </c>
      <c r="M156" s="771" t="s">
        <v>121</v>
      </c>
      <c r="N156" s="472"/>
      <c r="O156" s="472"/>
      <c r="P156" s="472"/>
      <c r="Q156" s="796"/>
      <c r="R156" s="796"/>
      <c r="S156" s="799"/>
      <c r="T156" s="457"/>
      <c r="U156" s="457"/>
      <c r="V156" s="435"/>
      <c r="W156" s="432"/>
    </row>
    <row r="157" spans="2:23" ht="14.25">
      <c r="B157" s="433"/>
      <c r="C157" s="750"/>
      <c r="D157" s="771">
        <v>10</v>
      </c>
      <c r="E157" s="1285" t="s">
        <v>1540</v>
      </c>
      <c r="F157" s="1286"/>
      <c r="G157" s="1286"/>
      <c r="H157" s="1286"/>
      <c r="I157" s="1286"/>
      <c r="J157" s="1286"/>
      <c r="K157" s="1287"/>
      <c r="L157" s="772">
        <v>18</v>
      </c>
      <c r="M157" s="771" t="s">
        <v>1481</v>
      </c>
      <c r="N157" s="472"/>
      <c r="O157" s="472"/>
      <c r="P157" s="472"/>
      <c r="Q157" s="796"/>
      <c r="R157" s="796"/>
      <c r="S157" s="799"/>
      <c r="T157" s="457"/>
      <c r="U157" s="457"/>
      <c r="V157" s="435"/>
      <c r="W157" s="432"/>
    </row>
    <row r="158" spans="2:23" ht="28.5" customHeight="1">
      <c r="B158" s="433"/>
      <c r="C158" s="750"/>
      <c r="D158" s="771">
        <v>11</v>
      </c>
      <c r="E158" s="1312" t="s">
        <v>1602</v>
      </c>
      <c r="F158" s="1313"/>
      <c r="G158" s="1313"/>
      <c r="H158" s="1313"/>
      <c r="I158" s="1313"/>
      <c r="J158" s="1313"/>
      <c r="K158" s="1314"/>
      <c r="L158" s="772">
        <v>1</v>
      </c>
      <c r="M158" s="771" t="s">
        <v>121</v>
      </c>
      <c r="N158" s="472"/>
      <c r="O158" s="472"/>
      <c r="P158" s="472"/>
      <c r="Q158" s="796"/>
      <c r="R158" s="796"/>
      <c r="S158" s="799"/>
      <c r="T158" s="457"/>
      <c r="U158" s="457"/>
      <c r="V158" s="435"/>
      <c r="W158" s="432"/>
    </row>
    <row r="159" spans="2:23">
      <c r="B159" s="433"/>
      <c r="C159" s="750"/>
      <c r="D159" s="800"/>
      <c r="E159" s="472"/>
      <c r="F159" s="616"/>
      <c r="G159" s="174"/>
      <c r="H159" s="472"/>
      <c r="I159" s="472"/>
      <c r="J159" s="472"/>
      <c r="K159" s="472"/>
      <c r="L159" s="472"/>
      <c r="M159" s="472"/>
      <c r="N159" s="472"/>
      <c r="O159" s="472"/>
      <c r="P159" s="472"/>
      <c r="Q159" s="796"/>
      <c r="R159" s="796"/>
      <c r="S159" s="799"/>
      <c r="T159" s="457"/>
      <c r="U159" s="457"/>
      <c r="V159" s="435"/>
      <c r="W159" s="432"/>
    </row>
    <row r="160" spans="2:23">
      <c r="B160" s="433"/>
      <c r="C160" s="205" t="s">
        <v>1581</v>
      </c>
      <c r="D160" s="174" t="str">
        <f>PLANILHA!B44</f>
        <v>Lista nº 02 - Materiais hidraulicos da entrada do novo reservatório de 500m³</v>
      </c>
      <c r="E160" s="177"/>
      <c r="F160" s="616"/>
      <c r="G160" s="174"/>
      <c r="H160" s="472"/>
      <c r="I160" s="472"/>
      <c r="J160" s="472"/>
      <c r="K160" s="472"/>
      <c r="L160" s="472"/>
      <c r="M160" s="472"/>
      <c r="N160" s="472"/>
      <c r="O160" s="472"/>
      <c r="P160" s="472"/>
      <c r="Q160" s="796"/>
      <c r="R160" s="796"/>
      <c r="S160" s="799"/>
      <c r="T160" s="457"/>
      <c r="U160" s="457"/>
      <c r="V160" s="435"/>
      <c r="W160" s="432"/>
    </row>
    <row r="161" spans="2:23">
      <c r="B161" s="433"/>
      <c r="C161" s="750"/>
      <c r="D161" s="800"/>
      <c r="E161" s="472"/>
      <c r="F161" s="616"/>
      <c r="G161" s="174"/>
      <c r="H161" s="472"/>
      <c r="I161" s="472"/>
      <c r="J161" s="472"/>
      <c r="K161" s="472"/>
      <c r="L161" s="472"/>
      <c r="M161" s="472"/>
      <c r="N161" s="472"/>
      <c r="O161" s="472"/>
      <c r="P161" s="472"/>
      <c r="Q161" s="796"/>
      <c r="R161" s="796"/>
      <c r="S161" s="799"/>
      <c r="T161" s="457"/>
      <c r="U161" s="457"/>
      <c r="V161" s="435"/>
      <c r="W161" s="432"/>
    </row>
    <row r="162" spans="2:23" ht="12.75" customHeight="1">
      <c r="B162" s="433"/>
      <c r="C162" s="750"/>
      <c r="D162" s="1310" t="s">
        <v>10</v>
      </c>
      <c r="E162" s="1315" t="s">
        <v>828</v>
      </c>
      <c r="F162" s="1316"/>
      <c r="G162" s="1316"/>
      <c r="H162" s="1316"/>
      <c r="I162" s="1316"/>
      <c r="J162" s="1316"/>
      <c r="K162" s="1317"/>
      <c r="L162" s="1310" t="s">
        <v>1534</v>
      </c>
      <c r="M162" s="1310" t="s">
        <v>144</v>
      </c>
      <c r="N162" s="472"/>
      <c r="O162" s="472"/>
      <c r="P162" s="472"/>
      <c r="Q162" s="796"/>
      <c r="R162" s="796"/>
      <c r="S162" s="799"/>
      <c r="T162" s="457"/>
      <c r="U162" s="457"/>
      <c r="V162" s="435"/>
      <c r="W162" s="432"/>
    </row>
    <row r="163" spans="2:23" ht="12.75" customHeight="1">
      <c r="B163" s="433"/>
      <c r="C163" s="534"/>
      <c r="D163" s="1311"/>
      <c r="E163" s="1318"/>
      <c r="F163" s="1319"/>
      <c r="G163" s="1319"/>
      <c r="H163" s="1319"/>
      <c r="I163" s="1319"/>
      <c r="J163" s="1319"/>
      <c r="K163" s="1320"/>
      <c r="L163" s="1311"/>
      <c r="M163" s="1311"/>
      <c r="N163" s="472"/>
      <c r="O163" s="472"/>
      <c r="P163" s="472"/>
      <c r="Q163" s="796"/>
      <c r="R163" s="796"/>
      <c r="S163" s="799"/>
      <c r="T163" s="457"/>
      <c r="U163" s="457"/>
      <c r="V163" s="435"/>
      <c r="W163" s="432"/>
    </row>
    <row r="164" spans="2:23" ht="14.25">
      <c r="B164" s="433"/>
      <c r="C164" s="750"/>
      <c r="D164" s="771">
        <v>1</v>
      </c>
      <c r="E164" s="1285" t="e">
        <f>#REF!</f>
        <v>#REF!</v>
      </c>
      <c r="F164" s="1286"/>
      <c r="G164" s="1286"/>
      <c r="H164" s="1286"/>
      <c r="I164" s="1286"/>
      <c r="J164" s="1286"/>
      <c r="K164" s="1287"/>
      <c r="L164" s="772">
        <v>10</v>
      </c>
      <c r="M164" s="771" t="s">
        <v>1535</v>
      </c>
      <c r="N164" s="472"/>
      <c r="O164" s="472"/>
      <c r="P164" s="472"/>
      <c r="Q164" s="796"/>
      <c r="R164" s="796"/>
      <c r="S164" s="799"/>
      <c r="T164" s="457"/>
      <c r="U164" s="457"/>
      <c r="V164" s="435"/>
      <c r="W164" s="432"/>
    </row>
    <row r="165" spans="2:23" ht="14.25">
      <c r="B165" s="433"/>
      <c r="C165" s="205"/>
      <c r="D165" s="771">
        <v>2</v>
      </c>
      <c r="E165" s="1285" t="e">
        <f>#REF!</f>
        <v>#REF!</v>
      </c>
      <c r="F165" s="1286"/>
      <c r="G165" s="1286"/>
      <c r="H165" s="1286"/>
      <c r="I165" s="1286"/>
      <c r="J165" s="1286"/>
      <c r="K165" s="1287"/>
      <c r="L165" s="772">
        <v>1</v>
      </c>
      <c r="M165" s="771" t="s">
        <v>121</v>
      </c>
      <c r="N165" s="472"/>
      <c r="O165" s="472"/>
      <c r="P165" s="472"/>
      <c r="Q165" s="796"/>
      <c r="R165" s="796"/>
      <c r="S165" s="799"/>
      <c r="T165" s="457"/>
      <c r="U165" s="457"/>
      <c r="V165" s="435"/>
      <c r="W165" s="432"/>
    </row>
    <row r="166" spans="2:23" ht="14.25">
      <c r="B166" s="433"/>
      <c r="C166" s="750"/>
      <c r="D166" s="771">
        <v>4</v>
      </c>
      <c r="E166" s="1285" t="e">
        <f>#REF!</f>
        <v>#REF!</v>
      </c>
      <c r="F166" s="1286"/>
      <c r="G166" s="1286"/>
      <c r="H166" s="1286"/>
      <c r="I166" s="1286"/>
      <c r="J166" s="1286"/>
      <c r="K166" s="1287"/>
      <c r="L166" s="772">
        <v>3</v>
      </c>
      <c r="M166" s="771" t="s">
        <v>121</v>
      </c>
      <c r="N166" s="472"/>
      <c r="O166" s="472"/>
      <c r="P166" s="472"/>
      <c r="Q166" s="796"/>
      <c r="R166" s="796"/>
      <c r="S166" s="799"/>
      <c r="T166" s="457"/>
      <c r="U166" s="457"/>
      <c r="V166" s="435"/>
      <c r="W166" s="432"/>
    </row>
    <row r="167" spans="2:23" ht="14.25">
      <c r="B167" s="433"/>
      <c r="C167" s="750"/>
      <c r="D167" s="771">
        <v>3</v>
      </c>
      <c r="E167" s="1285" t="e">
        <f>#REF!</f>
        <v>#REF!</v>
      </c>
      <c r="F167" s="1286"/>
      <c r="G167" s="1286"/>
      <c r="H167" s="1286"/>
      <c r="I167" s="1286"/>
      <c r="J167" s="1286"/>
      <c r="K167" s="1287"/>
      <c r="L167" s="772">
        <v>2</v>
      </c>
      <c r="M167" s="771" t="s">
        <v>121</v>
      </c>
      <c r="N167" s="472"/>
      <c r="O167" s="472"/>
      <c r="P167" s="472"/>
      <c r="Q167" s="796"/>
      <c r="R167" s="796"/>
      <c r="S167" s="799"/>
      <c r="T167" s="457"/>
      <c r="U167" s="457"/>
      <c r="V167" s="435"/>
      <c r="W167" s="432"/>
    </row>
    <row r="168" spans="2:23" ht="14.25">
      <c r="B168" s="433"/>
      <c r="C168" s="534"/>
      <c r="D168" s="771">
        <v>5</v>
      </c>
      <c r="E168" s="1285" t="e">
        <f>#REF!</f>
        <v>#REF!</v>
      </c>
      <c r="F168" s="1286"/>
      <c r="G168" s="1286"/>
      <c r="H168" s="1286"/>
      <c r="I168" s="1286"/>
      <c r="J168" s="1286"/>
      <c r="K168" s="1287"/>
      <c r="L168" s="772">
        <v>2</v>
      </c>
      <c r="M168" s="771" t="s">
        <v>121</v>
      </c>
      <c r="N168" s="472"/>
      <c r="O168" s="472"/>
      <c r="P168" s="472"/>
      <c r="Q168" s="796"/>
      <c r="R168" s="796"/>
      <c r="S168" s="799"/>
      <c r="T168" s="457"/>
      <c r="U168" s="457"/>
      <c r="V168" s="435"/>
      <c r="W168" s="432"/>
    </row>
    <row r="169" spans="2:23" ht="14.25">
      <c r="B169" s="433"/>
      <c r="C169" s="750"/>
      <c r="D169" s="771">
        <v>6</v>
      </c>
      <c r="E169" s="1285" t="e">
        <f>#REF!</f>
        <v>#REF!</v>
      </c>
      <c r="F169" s="1286"/>
      <c r="G169" s="1286"/>
      <c r="H169" s="1286"/>
      <c r="I169" s="1286"/>
      <c r="J169" s="1286"/>
      <c r="K169" s="1287"/>
      <c r="L169" s="793">
        <v>2</v>
      </c>
      <c r="M169" s="771" t="s">
        <v>121</v>
      </c>
      <c r="N169" s="472"/>
      <c r="O169" s="472"/>
      <c r="P169" s="472"/>
      <c r="Q169" s="796"/>
      <c r="R169" s="796"/>
      <c r="S169" s="799"/>
      <c r="T169" s="457"/>
      <c r="U169" s="457"/>
      <c r="V169" s="435"/>
      <c r="W169" s="432"/>
    </row>
    <row r="170" spans="2:23" ht="14.25">
      <c r="B170" s="433"/>
      <c r="C170" s="616"/>
      <c r="D170" s="771">
        <v>7</v>
      </c>
      <c r="E170" s="1285" t="e">
        <f>#REF!</f>
        <v>#REF!</v>
      </c>
      <c r="F170" s="1286"/>
      <c r="G170" s="1286"/>
      <c r="H170" s="1286"/>
      <c r="I170" s="1286"/>
      <c r="J170" s="1286"/>
      <c r="K170" s="1287"/>
      <c r="L170" s="772">
        <v>1</v>
      </c>
      <c r="M170" s="771" t="s">
        <v>121</v>
      </c>
      <c r="N170" s="472"/>
      <c r="O170" s="472"/>
      <c r="P170" s="472"/>
      <c r="Q170" s="796"/>
      <c r="R170" s="796"/>
      <c r="S170" s="799"/>
      <c r="T170" s="457"/>
      <c r="U170" s="457"/>
      <c r="V170" s="435"/>
      <c r="W170" s="432"/>
    </row>
    <row r="171" spans="2:23" ht="14.25">
      <c r="B171" s="433"/>
      <c r="C171" s="750"/>
      <c r="D171" s="771">
        <v>8</v>
      </c>
      <c r="E171" s="1285" t="e">
        <f>#REF!</f>
        <v>#REF!</v>
      </c>
      <c r="F171" s="1286"/>
      <c r="G171" s="1286"/>
      <c r="H171" s="1286"/>
      <c r="I171" s="1286"/>
      <c r="J171" s="1286"/>
      <c r="K171" s="1287"/>
      <c r="L171" s="772">
        <v>3</v>
      </c>
      <c r="M171" s="771" t="s">
        <v>121</v>
      </c>
      <c r="N171" s="472"/>
      <c r="O171" s="472"/>
      <c r="P171" s="472"/>
      <c r="Q171" s="796"/>
      <c r="R171" s="796"/>
      <c r="S171" s="799"/>
      <c r="T171" s="457"/>
      <c r="U171" s="457"/>
      <c r="V171" s="435"/>
      <c r="W171" s="432"/>
    </row>
    <row r="172" spans="2:23" ht="14.25">
      <c r="B172" s="433"/>
      <c r="C172" s="750"/>
      <c r="D172" s="771">
        <v>9</v>
      </c>
      <c r="E172" s="1285" t="e">
        <f>#REF!</f>
        <v>#REF!</v>
      </c>
      <c r="F172" s="1286"/>
      <c r="G172" s="1286"/>
      <c r="H172" s="1286"/>
      <c r="I172" s="1286"/>
      <c r="J172" s="1286"/>
      <c r="K172" s="1287"/>
      <c r="L172" s="772">
        <v>12</v>
      </c>
      <c r="M172" s="771" t="s">
        <v>1481</v>
      </c>
      <c r="N172" s="472"/>
      <c r="O172" s="472"/>
      <c r="P172" s="472"/>
      <c r="Q172" s="796"/>
      <c r="R172" s="796"/>
      <c r="S172" s="799"/>
      <c r="T172" s="457"/>
      <c r="U172" s="457"/>
      <c r="V172" s="435"/>
      <c r="W172" s="432"/>
    </row>
    <row r="173" spans="2:23" ht="30.75" customHeight="1">
      <c r="B173" s="433"/>
      <c r="C173" s="750"/>
      <c r="D173" s="771">
        <v>10</v>
      </c>
      <c r="E173" s="1312" t="e">
        <f>#REF!</f>
        <v>#REF!</v>
      </c>
      <c r="F173" s="1313"/>
      <c r="G173" s="1313"/>
      <c r="H173" s="1313"/>
      <c r="I173" s="1313"/>
      <c r="J173" s="1313"/>
      <c r="K173" s="1314"/>
      <c r="L173" s="772">
        <v>2</v>
      </c>
      <c r="M173" s="771" t="s">
        <v>121</v>
      </c>
      <c r="N173" s="472"/>
      <c r="O173" s="472"/>
      <c r="P173" s="472"/>
      <c r="Q173" s="796"/>
      <c r="R173" s="796"/>
      <c r="S173" s="799"/>
      <c r="T173" s="457"/>
      <c r="U173" s="457"/>
      <c r="V173" s="435"/>
      <c r="W173" s="432"/>
    </row>
    <row r="174" spans="2:23">
      <c r="B174" s="433"/>
      <c r="C174" s="750"/>
      <c r="D174" s="800"/>
      <c r="E174" s="472"/>
      <c r="F174" s="616"/>
      <c r="G174" s="174"/>
      <c r="H174" s="472"/>
      <c r="I174" s="472"/>
      <c r="J174" s="472"/>
      <c r="K174" s="472"/>
      <c r="L174" s="472"/>
      <c r="M174" s="472"/>
      <c r="N174" s="472"/>
      <c r="O174" s="472"/>
      <c r="P174" s="472"/>
      <c r="Q174" s="796"/>
      <c r="R174" s="796"/>
      <c r="S174" s="799"/>
      <c r="T174" s="457"/>
      <c r="U174" s="457"/>
      <c r="V174" s="435"/>
      <c r="W174" s="432"/>
    </row>
    <row r="175" spans="2:23">
      <c r="B175" s="433"/>
      <c r="C175" s="205" t="s">
        <v>1582</v>
      </c>
      <c r="D175" s="174" t="str">
        <f>PLANILHA!B45</f>
        <v>Lista nº 03 - Materiais hidraulicos do extravasor e limpeza do novo reservatório de 500m³</v>
      </c>
      <c r="E175" s="177"/>
      <c r="F175" s="616"/>
      <c r="G175" s="174"/>
      <c r="H175" s="472"/>
      <c r="I175" s="472"/>
      <c r="J175" s="472"/>
      <c r="K175" s="472"/>
      <c r="L175" s="472"/>
      <c r="M175" s="472"/>
      <c r="N175" s="472"/>
      <c r="O175" s="472"/>
      <c r="P175" s="472"/>
      <c r="Q175" s="796"/>
      <c r="R175" s="796"/>
      <c r="S175" s="799"/>
      <c r="T175" s="457"/>
      <c r="U175" s="457"/>
      <c r="V175" s="435"/>
      <c r="W175" s="432"/>
    </row>
    <row r="176" spans="2:23">
      <c r="B176" s="433"/>
      <c r="C176" s="750"/>
      <c r="D176" s="800"/>
      <c r="E176" s="472"/>
      <c r="F176" s="616"/>
      <c r="G176" s="174"/>
      <c r="H176" s="472"/>
      <c r="I176" s="472"/>
      <c r="J176" s="472"/>
      <c r="K176" s="472"/>
      <c r="L176" s="472"/>
      <c r="M176" s="472"/>
      <c r="N176" s="472"/>
      <c r="O176" s="472"/>
      <c r="P176" s="472"/>
      <c r="Q176" s="796"/>
      <c r="R176" s="796"/>
      <c r="S176" s="799"/>
      <c r="T176" s="457"/>
      <c r="U176" s="457"/>
      <c r="V176" s="435"/>
      <c r="W176" s="432"/>
    </row>
    <row r="177" spans="2:23" ht="12.75" customHeight="1">
      <c r="B177" s="433"/>
      <c r="C177" s="750"/>
      <c r="D177" s="1310" t="s">
        <v>10</v>
      </c>
      <c r="E177" s="1315" t="s">
        <v>828</v>
      </c>
      <c r="F177" s="1316"/>
      <c r="G177" s="1316"/>
      <c r="H177" s="1316"/>
      <c r="I177" s="1316"/>
      <c r="J177" s="1316"/>
      <c r="K177" s="1317"/>
      <c r="L177" s="1310" t="s">
        <v>1534</v>
      </c>
      <c r="M177" s="1310" t="s">
        <v>144</v>
      </c>
      <c r="N177" s="472"/>
      <c r="O177" s="472"/>
      <c r="P177" s="472"/>
      <c r="Q177" s="796"/>
      <c r="R177" s="796"/>
      <c r="S177" s="799"/>
      <c r="T177" s="457"/>
      <c r="U177" s="457"/>
      <c r="V177" s="435"/>
      <c r="W177" s="432"/>
    </row>
    <row r="178" spans="2:23" ht="12.75" customHeight="1">
      <c r="B178" s="433"/>
      <c r="C178" s="534"/>
      <c r="D178" s="1311"/>
      <c r="E178" s="1318"/>
      <c r="F178" s="1319"/>
      <c r="G178" s="1319"/>
      <c r="H178" s="1319"/>
      <c r="I178" s="1319"/>
      <c r="J178" s="1319"/>
      <c r="K178" s="1320"/>
      <c r="L178" s="1311"/>
      <c r="M178" s="1311"/>
      <c r="N178" s="472"/>
      <c r="O178" s="472"/>
      <c r="P178" s="472"/>
      <c r="Q178" s="796"/>
      <c r="R178" s="796"/>
      <c r="S178" s="799"/>
      <c r="T178" s="457"/>
      <c r="U178" s="457"/>
      <c r="V178" s="435"/>
      <c r="W178" s="432"/>
    </row>
    <row r="179" spans="2:23" ht="14.25">
      <c r="B179" s="433"/>
      <c r="C179" s="750"/>
      <c r="D179" s="771">
        <v>1</v>
      </c>
      <c r="E179" s="1285" t="e">
        <f>#REF!</f>
        <v>#REF!</v>
      </c>
      <c r="F179" s="1286"/>
      <c r="G179" s="1286"/>
      <c r="H179" s="1286"/>
      <c r="I179" s="1286"/>
      <c r="J179" s="1286"/>
      <c r="K179" s="1287"/>
      <c r="L179" s="772" t="e">
        <f>#REF!</f>
        <v>#REF!</v>
      </c>
      <c r="M179" s="771" t="s">
        <v>1535</v>
      </c>
      <c r="N179" s="472"/>
      <c r="O179" s="472"/>
      <c r="P179" s="472"/>
      <c r="Q179" s="796"/>
      <c r="R179" s="796"/>
      <c r="S179" s="799"/>
      <c r="T179" s="457"/>
      <c r="U179" s="457"/>
      <c r="V179" s="435"/>
      <c r="W179" s="432"/>
    </row>
    <row r="180" spans="2:23" ht="14.25">
      <c r="B180" s="433"/>
      <c r="C180" s="205"/>
      <c r="D180" s="771">
        <v>2</v>
      </c>
      <c r="E180" s="1285" t="e">
        <f>#REF!</f>
        <v>#REF!</v>
      </c>
      <c r="F180" s="1286"/>
      <c r="G180" s="1286"/>
      <c r="H180" s="1286"/>
      <c r="I180" s="1286"/>
      <c r="J180" s="1286"/>
      <c r="K180" s="1287"/>
      <c r="L180" s="772" t="e">
        <f>#REF!</f>
        <v>#REF!</v>
      </c>
      <c r="M180" s="771" t="s">
        <v>121</v>
      </c>
      <c r="N180" s="472"/>
      <c r="O180" s="472"/>
      <c r="P180" s="472"/>
      <c r="Q180" s="796"/>
      <c r="R180" s="796"/>
      <c r="S180" s="799"/>
      <c r="T180" s="457"/>
      <c r="U180" s="457"/>
      <c r="V180" s="435"/>
      <c r="W180" s="432"/>
    </row>
    <row r="181" spans="2:23" ht="14.25">
      <c r="B181" s="433"/>
      <c r="C181" s="750"/>
      <c r="D181" s="771">
        <v>4</v>
      </c>
      <c r="E181" s="1285" t="e">
        <f>#REF!</f>
        <v>#REF!</v>
      </c>
      <c r="F181" s="1286"/>
      <c r="G181" s="1286"/>
      <c r="H181" s="1286"/>
      <c r="I181" s="1286"/>
      <c r="J181" s="1286"/>
      <c r="K181" s="1287"/>
      <c r="L181" s="772" t="e">
        <f>#REF!</f>
        <v>#REF!</v>
      </c>
      <c r="M181" s="771" t="s">
        <v>121</v>
      </c>
      <c r="N181" s="472"/>
      <c r="O181" s="472"/>
      <c r="P181" s="472"/>
      <c r="Q181" s="796"/>
      <c r="R181" s="796"/>
      <c r="S181" s="799"/>
      <c r="T181" s="457"/>
      <c r="U181" s="457"/>
      <c r="V181" s="435"/>
      <c r="W181" s="432"/>
    </row>
    <row r="182" spans="2:23" ht="14.25">
      <c r="B182" s="433"/>
      <c r="C182" s="750"/>
      <c r="D182" s="771">
        <v>3</v>
      </c>
      <c r="E182" s="1285" t="e">
        <f>#REF!</f>
        <v>#REF!</v>
      </c>
      <c r="F182" s="1286"/>
      <c r="G182" s="1286"/>
      <c r="H182" s="1286"/>
      <c r="I182" s="1286"/>
      <c r="J182" s="1286"/>
      <c r="K182" s="1287"/>
      <c r="L182" s="772" t="e">
        <f>#REF!</f>
        <v>#REF!</v>
      </c>
      <c r="M182" s="771" t="s">
        <v>121</v>
      </c>
      <c r="N182" s="472"/>
      <c r="O182" s="472"/>
      <c r="P182" s="472"/>
      <c r="Q182" s="796"/>
      <c r="R182" s="796"/>
      <c r="S182" s="799"/>
      <c r="T182" s="457"/>
      <c r="U182" s="457"/>
      <c r="V182" s="435"/>
      <c r="W182" s="432"/>
    </row>
    <row r="183" spans="2:23" ht="14.25">
      <c r="B183" s="433"/>
      <c r="C183" s="534"/>
      <c r="D183" s="771">
        <v>5</v>
      </c>
      <c r="E183" s="1285" t="e">
        <f>#REF!</f>
        <v>#REF!</v>
      </c>
      <c r="F183" s="1286"/>
      <c r="G183" s="1286"/>
      <c r="H183" s="1286"/>
      <c r="I183" s="1286"/>
      <c r="J183" s="1286"/>
      <c r="K183" s="1287"/>
      <c r="L183" s="772" t="e">
        <f>#REF!</f>
        <v>#REF!</v>
      </c>
      <c r="M183" s="771" t="s">
        <v>121</v>
      </c>
      <c r="N183" s="472"/>
      <c r="O183" s="472"/>
      <c r="P183" s="472"/>
      <c r="Q183" s="796"/>
      <c r="R183" s="796"/>
      <c r="S183" s="799"/>
      <c r="T183" s="457"/>
      <c r="U183" s="457"/>
      <c r="V183" s="435"/>
      <c r="W183" s="432"/>
    </row>
    <row r="184" spans="2:23">
      <c r="B184" s="433"/>
      <c r="C184" s="750"/>
      <c r="D184" s="800"/>
      <c r="E184" s="472"/>
      <c r="F184" s="616"/>
      <c r="G184" s="174"/>
      <c r="H184" s="472"/>
      <c r="I184" s="472"/>
      <c r="J184" s="472"/>
      <c r="K184" s="472"/>
      <c r="L184" s="472"/>
      <c r="M184" s="472"/>
      <c r="N184" s="472"/>
      <c r="O184" s="472"/>
      <c r="P184" s="472"/>
      <c r="Q184" s="796"/>
      <c r="R184" s="796"/>
      <c r="S184" s="799"/>
      <c r="T184" s="457"/>
      <c r="U184" s="457"/>
      <c r="V184" s="435"/>
      <c r="W184" s="432"/>
    </row>
    <row r="185" spans="2:23">
      <c r="B185" s="433"/>
      <c r="C185" s="205" t="s">
        <v>327</v>
      </c>
      <c r="D185" s="1273" t="str">
        <f>PLANILHA!B46</f>
        <v>Inteligações da Saída do reservatório de 500 m³ com as redes existentes de distribuição.</v>
      </c>
      <c r="E185" s="1273"/>
      <c r="F185" s="1273"/>
      <c r="G185" s="1273"/>
      <c r="H185" s="1273"/>
      <c r="I185" s="1273"/>
      <c r="J185" s="1273"/>
      <c r="K185" s="1273"/>
      <c r="L185" s="1273"/>
      <c r="M185" s="1273"/>
      <c r="N185" s="1273"/>
      <c r="O185" s="1273"/>
      <c r="P185" s="1273"/>
      <c r="R185" s="317"/>
      <c r="S185" s="799"/>
      <c r="T185" s="457"/>
      <c r="U185" s="457"/>
      <c r="V185" s="435"/>
      <c r="W185" s="432"/>
    </row>
    <row r="186" spans="2:23">
      <c r="B186" s="433"/>
      <c r="C186" s="205" t="s">
        <v>1456</v>
      </c>
      <c r="D186" s="1273" t="str">
        <f>PLANILHA!B47</f>
        <v>Demolição de passeio cimentado, de forma manual, sem reaproveitamento</v>
      </c>
      <c r="E186" s="1273"/>
      <c r="F186" s="1273"/>
      <c r="G186" s="1273"/>
      <c r="H186" s="1273"/>
      <c r="I186" s="1273"/>
      <c r="J186" s="1273"/>
      <c r="K186" s="801"/>
      <c r="L186" s="801"/>
      <c r="M186" s="801"/>
      <c r="N186" s="801"/>
      <c r="O186" s="801"/>
      <c r="P186" s="801"/>
      <c r="R186" s="317"/>
      <c r="S186" s="799"/>
      <c r="T186" s="457"/>
      <c r="U186" s="457"/>
      <c r="V186" s="435"/>
      <c r="W186" s="432"/>
    </row>
    <row r="187" spans="2:23">
      <c r="B187" s="433"/>
      <c r="C187" s="616"/>
      <c r="D187" s="800"/>
      <c r="E187" s="472" t="s">
        <v>1673</v>
      </c>
      <c r="F187" s="616"/>
      <c r="G187" s="174"/>
      <c r="H187" s="472"/>
      <c r="I187" s="472"/>
      <c r="J187" s="472"/>
      <c r="K187" s="472"/>
      <c r="L187" s="472"/>
      <c r="M187" s="472"/>
      <c r="N187" s="472"/>
      <c r="O187" s="472"/>
      <c r="P187" s="472"/>
      <c r="Q187" s="812">
        <f>F190*F191</f>
        <v>3.5999999999999996</v>
      </c>
      <c r="R187" s="796" t="s">
        <v>17</v>
      </c>
      <c r="S187" s="799"/>
      <c r="T187" s="457"/>
      <c r="U187" s="457"/>
      <c r="V187" s="435"/>
      <c r="W187" s="432"/>
    </row>
    <row r="188" spans="2:23">
      <c r="B188" s="433"/>
      <c r="C188" s="616"/>
      <c r="D188" s="800"/>
      <c r="E188" s="616"/>
      <c r="F188" s="616"/>
      <c r="G188" s="174"/>
      <c r="H188" s="472"/>
      <c r="I188" s="472"/>
      <c r="J188" s="472"/>
      <c r="K188" s="472"/>
      <c r="L188" s="472"/>
      <c r="M188" s="472"/>
      <c r="N188" s="472"/>
      <c r="O188" s="472"/>
      <c r="P188" s="472"/>
      <c r="Q188" s="796"/>
      <c r="R188" s="796"/>
      <c r="S188" s="799"/>
      <c r="T188" s="457"/>
      <c r="U188" s="457"/>
      <c r="V188" s="435"/>
      <c r="W188" s="432"/>
    </row>
    <row r="189" spans="2:23">
      <c r="B189" s="433"/>
      <c r="D189" s="616" t="s">
        <v>1500</v>
      </c>
      <c r="E189" s="616"/>
      <c r="F189" s="616"/>
      <c r="G189" s="174"/>
      <c r="H189" s="472"/>
      <c r="I189" s="472"/>
      <c r="J189" s="472"/>
      <c r="K189" s="472"/>
      <c r="L189" s="472"/>
      <c r="M189" s="472"/>
      <c r="N189" s="472"/>
      <c r="O189" s="472"/>
      <c r="P189" s="472"/>
      <c r="Q189" s="796"/>
      <c r="R189" s="796"/>
      <c r="S189" s="799"/>
      <c r="T189" s="457"/>
      <c r="U189" s="457"/>
      <c r="V189" s="435"/>
      <c r="W189" s="432"/>
    </row>
    <row r="190" spans="2:23">
      <c r="B190" s="433"/>
      <c r="D190" s="1272" t="s">
        <v>822</v>
      </c>
      <c r="E190" s="1272"/>
      <c r="F190" s="820">
        <v>1.2</v>
      </c>
      <c r="G190" s="616" t="s">
        <v>0</v>
      </c>
      <c r="H190" s="472"/>
      <c r="I190" s="472"/>
      <c r="J190" s="472"/>
      <c r="K190" s="472"/>
      <c r="L190" s="472"/>
      <c r="M190" s="472"/>
      <c r="N190" s="472"/>
      <c r="O190" s="472"/>
      <c r="P190" s="472"/>
      <c r="Q190" s="796"/>
      <c r="R190" s="796"/>
      <c r="S190" s="799"/>
      <c r="T190" s="457"/>
      <c r="U190" s="457"/>
      <c r="V190" s="435"/>
      <c r="W190" s="432"/>
    </row>
    <row r="191" spans="2:23">
      <c r="B191" s="433"/>
      <c r="D191" s="1274" t="s">
        <v>858</v>
      </c>
      <c r="E191" s="1274"/>
      <c r="F191" s="820">
        <v>3</v>
      </c>
      <c r="G191" s="616" t="s">
        <v>0</v>
      </c>
      <c r="H191" s="472"/>
      <c r="I191" s="472"/>
      <c r="J191" s="472"/>
      <c r="K191" s="472"/>
      <c r="L191" s="472"/>
      <c r="M191" s="472"/>
      <c r="N191" s="472"/>
      <c r="O191" s="472"/>
      <c r="P191" s="472"/>
      <c r="Q191" s="796"/>
      <c r="R191" s="796"/>
      <c r="S191" s="799"/>
      <c r="T191" s="457"/>
      <c r="U191" s="457"/>
      <c r="V191" s="435"/>
      <c r="W191" s="432"/>
    </row>
    <row r="192" spans="2:23">
      <c r="B192" s="433"/>
      <c r="D192" s="1272"/>
      <c r="E192" s="1272"/>
      <c r="F192" s="800"/>
      <c r="G192" s="616"/>
      <c r="H192" s="472"/>
      <c r="I192" s="472"/>
      <c r="J192" s="472"/>
      <c r="K192" s="472"/>
      <c r="L192" s="472"/>
      <c r="M192" s="472"/>
      <c r="N192" s="472"/>
      <c r="O192" s="472"/>
      <c r="P192" s="472"/>
      <c r="Q192" s="796"/>
      <c r="R192" s="796"/>
      <c r="S192" s="799"/>
      <c r="T192" s="457"/>
      <c r="U192" s="457"/>
      <c r="V192" s="435"/>
      <c r="W192" s="432"/>
    </row>
    <row r="193" spans="2:23" ht="25.5" customHeight="1">
      <c r="B193" s="433"/>
      <c r="C193" s="205" t="s">
        <v>1457</v>
      </c>
      <c r="D193" s="1273" t="s">
        <v>1559</v>
      </c>
      <c r="E193" s="1273"/>
      <c r="F193" s="1273"/>
      <c r="G193" s="1273"/>
      <c r="H193" s="1273"/>
      <c r="I193" s="1273"/>
      <c r="J193" s="1273"/>
      <c r="K193" s="1273"/>
      <c r="L193" s="1273"/>
      <c r="M193" s="1273"/>
      <c r="N193" s="1273"/>
      <c r="O193" s="1273"/>
      <c r="P193" s="1273"/>
      <c r="R193" s="317"/>
      <c r="S193" s="799"/>
      <c r="T193" s="457"/>
      <c r="U193" s="457"/>
      <c r="V193" s="435"/>
      <c r="W193" s="432"/>
    </row>
    <row r="194" spans="2:23" ht="14.1" customHeight="1">
      <c r="B194" s="433"/>
      <c r="C194" s="534"/>
      <c r="D194" s="472"/>
      <c r="E194" s="1270" t="s">
        <v>1674</v>
      </c>
      <c r="F194" s="1271"/>
      <c r="G194" s="1271"/>
      <c r="H194" s="1271"/>
      <c r="I194" s="1271"/>
      <c r="J194" s="1271"/>
      <c r="K194" s="1271"/>
      <c r="L194" s="1271"/>
      <c r="M194" s="1271"/>
      <c r="N194" s="1271"/>
      <c r="O194" s="1271"/>
      <c r="P194" s="1271"/>
      <c r="Q194" s="795">
        <f>F197*8</f>
        <v>40</v>
      </c>
      <c r="R194" s="796" t="s">
        <v>179</v>
      </c>
      <c r="S194" s="799"/>
      <c r="T194" s="457"/>
      <c r="U194" s="457"/>
      <c r="V194" s="435"/>
      <c r="W194" s="432"/>
    </row>
    <row r="195" spans="2:23">
      <c r="B195" s="433"/>
      <c r="C195" s="534"/>
      <c r="D195" s="616"/>
      <c r="E195" s="616"/>
      <c r="F195" s="616"/>
      <c r="G195" s="174"/>
      <c r="H195" s="472"/>
      <c r="I195" s="472"/>
      <c r="J195" s="472"/>
      <c r="K195" s="472"/>
      <c r="L195" s="472"/>
      <c r="M195" s="472"/>
      <c r="N195" s="472"/>
      <c r="O195" s="472"/>
      <c r="P195" s="472"/>
      <c r="Q195" s="796"/>
      <c r="R195" s="796"/>
      <c r="S195" s="799"/>
      <c r="T195" s="457"/>
      <c r="U195" s="457"/>
      <c r="V195" s="435"/>
      <c r="W195" s="432"/>
    </row>
    <row r="196" spans="2:23" ht="14.1" customHeight="1">
      <c r="B196" s="433"/>
      <c r="C196" s="534"/>
      <c r="D196" s="616" t="s">
        <v>1500</v>
      </c>
      <c r="E196" s="616"/>
      <c r="F196" s="616"/>
      <c r="G196" s="174"/>
      <c r="H196" s="472"/>
      <c r="I196" s="472"/>
      <c r="J196" s="472"/>
      <c r="K196" s="472"/>
      <c r="L196" s="472"/>
      <c r="M196" s="472"/>
      <c r="N196" s="472"/>
      <c r="O196" s="472"/>
      <c r="P196" s="472"/>
      <c r="Q196" s="796"/>
      <c r="R196" s="796"/>
      <c r="S196" s="799"/>
      <c r="T196" s="457"/>
      <c r="U196" s="457"/>
      <c r="V196" s="435"/>
      <c r="W196" s="432"/>
    </row>
    <row r="197" spans="2:23" ht="14.1" customHeight="1">
      <c r="B197" s="433"/>
      <c r="C197" s="534"/>
      <c r="D197" s="1272" t="s">
        <v>1507</v>
      </c>
      <c r="E197" s="1272"/>
      <c r="F197" s="820">
        <v>5</v>
      </c>
      <c r="G197" s="616" t="s">
        <v>107</v>
      </c>
      <c r="H197" s="472"/>
      <c r="I197" s="472"/>
      <c r="J197" s="472"/>
      <c r="K197" s="472"/>
      <c r="L197" s="472"/>
      <c r="M197" s="472"/>
      <c r="N197" s="472"/>
      <c r="O197" s="472"/>
      <c r="P197" s="472"/>
      <c r="Q197" s="796"/>
      <c r="R197" s="796"/>
      <c r="S197" s="799"/>
      <c r="T197" s="457"/>
      <c r="U197" s="457"/>
      <c r="V197" s="435"/>
      <c r="W197" s="432"/>
    </row>
    <row r="198" spans="2:23">
      <c r="B198" s="433"/>
      <c r="C198" s="750"/>
      <c r="D198" s="800"/>
      <c r="E198" s="472"/>
      <c r="F198" s="616"/>
      <c r="G198" s="174"/>
      <c r="H198" s="472"/>
      <c r="I198" s="472"/>
      <c r="J198" s="472"/>
      <c r="K198" s="472"/>
      <c r="L198" s="472"/>
      <c r="M198" s="472"/>
      <c r="N198" s="472"/>
      <c r="O198" s="472"/>
      <c r="P198" s="472"/>
      <c r="Q198" s="796"/>
      <c r="R198" s="796"/>
      <c r="S198" s="799"/>
      <c r="T198" s="457"/>
      <c r="U198" s="457"/>
      <c r="V198" s="435"/>
      <c r="W198" s="432"/>
    </row>
    <row r="199" spans="2:23">
      <c r="B199" s="433"/>
      <c r="C199" s="205" t="s">
        <v>1458</v>
      </c>
      <c r="D199" s="1273" t="str">
        <f>PLANILHA!B49</f>
        <v>Lastro de areia (e=20cm) para envoltória</v>
      </c>
      <c r="E199" s="1273"/>
      <c r="F199" s="1273"/>
      <c r="G199" s="1273"/>
      <c r="H199" s="1273"/>
      <c r="I199" s="1273"/>
      <c r="J199" s="1273"/>
      <c r="K199" s="1273"/>
      <c r="L199" s="1273"/>
      <c r="M199" s="1273"/>
      <c r="N199" s="1273"/>
      <c r="O199" s="1273"/>
      <c r="P199" s="1273"/>
      <c r="R199" s="317"/>
      <c r="S199" s="799"/>
      <c r="T199" s="457"/>
      <c r="U199" s="457"/>
      <c r="V199" s="435"/>
      <c r="W199" s="432"/>
    </row>
    <row r="200" spans="2:23">
      <c r="B200" s="433"/>
      <c r="C200" s="750"/>
      <c r="D200" s="800"/>
      <c r="E200" s="472" t="s">
        <v>1522</v>
      </c>
      <c r="F200" s="472"/>
      <c r="G200" s="472"/>
      <c r="H200" s="472"/>
      <c r="I200" s="472"/>
      <c r="J200" s="472"/>
      <c r="K200" s="472"/>
      <c r="L200" s="472"/>
      <c r="M200" s="472"/>
      <c r="N200" s="472"/>
      <c r="O200" s="472"/>
      <c r="P200" s="472"/>
      <c r="Q200" s="812">
        <f>F203*F204*F205</f>
        <v>2.8800000000000003</v>
      </c>
      <c r="R200" s="796" t="s">
        <v>18</v>
      </c>
      <c r="S200" s="799"/>
      <c r="T200" s="457"/>
      <c r="U200" s="457"/>
      <c r="V200" s="435"/>
      <c r="W200" s="432"/>
    </row>
    <row r="201" spans="2:23">
      <c r="B201" s="433"/>
      <c r="C201" s="750"/>
      <c r="D201" s="800"/>
      <c r="E201" s="472"/>
      <c r="F201" s="616"/>
      <c r="G201" s="174"/>
      <c r="H201" s="472"/>
      <c r="I201" s="472"/>
      <c r="J201" s="472"/>
      <c r="K201" s="472"/>
      <c r="L201" s="472"/>
      <c r="M201" s="472"/>
      <c r="N201" s="472"/>
      <c r="O201" s="472"/>
      <c r="P201" s="472"/>
      <c r="Q201" s="796"/>
      <c r="R201" s="796"/>
      <c r="S201" s="799"/>
      <c r="T201" s="457"/>
      <c r="U201" s="457"/>
      <c r="V201" s="435"/>
      <c r="W201" s="432"/>
    </row>
    <row r="202" spans="2:23">
      <c r="B202" s="433"/>
      <c r="D202" s="616" t="s">
        <v>1500</v>
      </c>
      <c r="E202" s="616"/>
      <c r="F202" s="616"/>
      <c r="G202" s="174"/>
      <c r="H202" s="472"/>
      <c r="I202" s="472"/>
      <c r="J202" s="472"/>
      <c r="K202" s="472"/>
      <c r="L202" s="472"/>
      <c r="M202" s="472"/>
      <c r="N202" s="472"/>
      <c r="O202" s="472"/>
      <c r="P202" s="472"/>
      <c r="Q202" s="796"/>
      <c r="R202" s="796"/>
      <c r="S202" s="799"/>
      <c r="T202" s="457"/>
      <c r="U202" s="457"/>
      <c r="V202" s="435"/>
      <c r="W202" s="432"/>
    </row>
    <row r="203" spans="2:23">
      <c r="B203" s="433"/>
      <c r="D203" s="1272" t="s">
        <v>1675</v>
      </c>
      <c r="E203" s="1272"/>
      <c r="F203" s="820">
        <v>0.2</v>
      </c>
      <c r="G203" s="616" t="s">
        <v>0</v>
      </c>
      <c r="H203" s="472"/>
      <c r="I203" s="472"/>
      <c r="J203" s="472"/>
      <c r="K203" s="472"/>
      <c r="L203" s="472"/>
      <c r="M203" s="472"/>
      <c r="N203" s="472"/>
      <c r="O203" s="472"/>
      <c r="P203" s="472"/>
      <c r="Q203" s="796"/>
      <c r="R203" s="796"/>
      <c r="S203" s="799"/>
      <c r="T203" s="457"/>
      <c r="U203" s="457"/>
      <c r="V203" s="435"/>
      <c r="W203" s="432"/>
    </row>
    <row r="204" spans="2:23">
      <c r="B204" s="433"/>
      <c r="D204" s="1272" t="s">
        <v>1519</v>
      </c>
      <c r="E204" s="1272"/>
      <c r="F204" s="820">
        <v>18</v>
      </c>
      <c r="G204" s="472" t="s">
        <v>0</v>
      </c>
      <c r="H204" s="472"/>
      <c r="I204" s="472"/>
      <c r="J204" s="472"/>
      <c r="K204" s="472"/>
      <c r="L204" s="472"/>
      <c r="M204" s="472"/>
      <c r="N204" s="472"/>
      <c r="O204" s="472"/>
      <c r="P204" s="472"/>
      <c r="Q204" s="796"/>
      <c r="R204" s="796"/>
      <c r="S204" s="799"/>
      <c r="T204" s="457"/>
      <c r="U204" s="457"/>
      <c r="V204" s="435"/>
      <c r="W204" s="432"/>
    </row>
    <row r="205" spans="2:23">
      <c r="B205" s="433"/>
      <c r="D205" s="1274" t="s">
        <v>1545</v>
      </c>
      <c r="E205" s="1274"/>
      <c r="F205" s="820">
        <v>0.8</v>
      </c>
      <c r="G205" s="616" t="s">
        <v>0</v>
      </c>
      <c r="H205" s="472"/>
      <c r="I205" s="472"/>
      <c r="J205" s="472"/>
      <c r="K205" s="472"/>
      <c r="L205" s="472"/>
      <c r="M205" s="472"/>
      <c r="N205" s="472"/>
      <c r="O205" s="472"/>
      <c r="P205" s="472"/>
      <c r="Q205" s="796"/>
      <c r="R205" s="796"/>
      <c r="S205" s="799"/>
      <c r="T205" s="457"/>
      <c r="U205" s="457"/>
      <c r="V205" s="435"/>
      <c r="W205" s="432"/>
    </row>
    <row r="206" spans="2:23">
      <c r="B206" s="433"/>
      <c r="C206" s="616"/>
      <c r="D206" s="800"/>
      <c r="E206" s="616"/>
      <c r="F206" s="616"/>
      <c r="G206" s="174"/>
      <c r="H206" s="472"/>
      <c r="I206" s="472"/>
      <c r="J206" s="472"/>
      <c r="K206" s="472"/>
      <c r="L206" s="472"/>
      <c r="M206" s="472"/>
      <c r="N206" s="472"/>
      <c r="O206" s="472"/>
      <c r="P206" s="472"/>
      <c r="Q206" s="796"/>
      <c r="R206" s="796"/>
      <c r="S206" s="799"/>
      <c r="T206" s="457"/>
      <c r="U206" s="457"/>
      <c r="V206" s="435"/>
      <c r="W206" s="432"/>
    </row>
    <row r="207" spans="2:23" ht="12.75" customHeight="1">
      <c r="B207" s="433"/>
      <c r="C207" s="205" t="s">
        <v>1459</v>
      </c>
      <c r="D207" s="1273" t="s">
        <v>1523</v>
      </c>
      <c r="E207" s="1273"/>
      <c r="F207" s="1273"/>
      <c r="G207" s="1273"/>
      <c r="H207" s="1273"/>
      <c r="I207" s="1273"/>
      <c r="J207" s="1273"/>
      <c r="K207" s="1273"/>
      <c r="L207" s="1273"/>
      <c r="M207" s="1273"/>
      <c r="N207" s="1273"/>
      <c r="O207" s="1273"/>
      <c r="P207" s="1273"/>
      <c r="Q207" s="796"/>
      <c r="R207" s="796"/>
      <c r="S207" s="799"/>
      <c r="T207" s="457"/>
      <c r="U207" s="457"/>
      <c r="V207" s="435"/>
      <c r="W207" s="432"/>
    </row>
    <row r="208" spans="2:23">
      <c r="B208" s="433"/>
      <c r="C208" s="616"/>
      <c r="D208" s="800"/>
      <c r="E208" s="472" t="s">
        <v>1524</v>
      </c>
      <c r="F208" s="616"/>
      <c r="G208" s="174"/>
      <c r="H208" s="472"/>
      <c r="I208" s="472"/>
      <c r="J208" s="472"/>
      <c r="K208" s="472"/>
      <c r="L208" s="472"/>
      <c r="M208" s="472"/>
      <c r="N208" s="472"/>
      <c r="O208" s="472"/>
      <c r="P208" s="472"/>
      <c r="Q208" s="795">
        <f>F211*F213*F212</f>
        <v>14.4</v>
      </c>
      <c r="R208" s="796" t="s">
        <v>18</v>
      </c>
      <c r="S208" s="799"/>
      <c r="T208" s="457"/>
      <c r="U208" s="457"/>
      <c r="V208" s="435"/>
      <c r="W208" s="432"/>
    </row>
    <row r="209" spans="2:23">
      <c r="B209" s="433"/>
      <c r="C209" s="616"/>
      <c r="D209" s="800"/>
      <c r="E209" s="616"/>
      <c r="F209" s="616"/>
      <c r="G209" s="174"/>
      <c r="H209" s="472"/>
      <c r="I209" s="472"/>
      <c r="J209" s="472"/>
      <c r="K209" s="472"/>
      <c r="L209" s="472"/>
      <c r="M209" s="472"/>
      <c r="N209" s="472"/>
      <c r="O209" s="472"/>
      <c r="P209" s="472"/>
      <c r="Q209" s="796"/>
      <c r="R209" s="796"/>
      <c r="S209" s="799"/>
      <c r="T209" s="457"/>
      <c r="U209" s="457"/>
      <c r="V209" s="435"/>
      <c r="W209" s="432"/>
    </row>
    <row r="210" spans="2:23">
      <c r="B210" s="433"/>
      <c r="D210" s="472" t="s">
        <v>1500</v>
      </c>
      <c r="E210" s="472"/>
      <c r="F210" s="616"/>
      <c r="G210" s="174"/>
      <c r="H210" s="472"/>
      <c r="I210" s="472"/>
      <c r="J210" s="472"/>
      <c r="K210" s="472"/>
      <c r="L210" s="472"/>
      <c r="M210" s="472"/>
      <c r="N210" s="472"/>
      <c r="O210" s="472"/>
      <c r="P210" s="472"/>
      <c r="Q210" s="796"/>
      <c r="R210" s="796"/>
      <c r="S210" s="799"/>
      <c r="T210" s="457"/>
      <c r="U210" s="457"/>
      <c r="V210" s="435"/>
      <c r="W210" s="432"/>
    </row>
    <row r="211" spans="2:23">
      <c r="B211" s="433"/>
      <c r="D211" s="1279" t="s">
        <v>1525</v>
      </c>
      <c r="E211" s="1279"/>
      <c r="F211" s="820">
        <v>18</v>
      </c>
      <c r="G211" s="616" t="s">
        <v>0</v>
      </c>
      <c r="H211" s="472"/>
      <c r="I211" s="472"/>
      <c r="J211" s="472"/>
      <c r="K211" s="472"/>
      <c r="L211" s="472"/>
      <c r="M211" s="472"/>
      <c r="N211" s="472"/>
      <c r="O211" s="472"/>
      <c r="P211" s="472"/>
      <c r="Q211" s="796"/>
      <c r="R211" s="796"/>
      <c r="S211" s="799"/>
      <c r="T211" s="457"/>
      <c r="U211" s="457"/>
      <c r="V211" s="435"/>
      <c r="W211" s="432"/>
    </row>
    <row r="212" spans="2:23">
      <c r="B212" s="433"/>
      <c r="D212" s="1279" t="s">
        <v>1526</v>
      </c>
      <c r="E212" s="1279"/>
      <c r="F212" s="820">
        <v>1</v>
      </c>
      <c r="G212" s="472" t="s">
        <v>0</v>
      </c>
      <c r="H212" s="472"/>
      <c r="I212" s="472"/>
      <c r="J212" s="472"/>
      <c r="K212" s="472"/>
      <c r="L212" s="472"/>
      <c r="M212" s="472"/>
      <c r="N212" s="472"/>
      <c r="O212" s="472"/>
      <c r="P212" s="472"/>
      <c r="Q212" s="796"/>
      <c r="R212" s="796"/>
      <c r="S212" s="799"/>
      <c r="T212" s="457"/>
      <c r="U212" s="457"/>
      <c r="V212" s="435"/>
      <c r="W212" s="432"/>
    </row>
    <row r="213" spans="2:23">
      <c r="B213" s="433"/>
      <c r="D213" s="1278" t="s">
        <v>1520</v>
      </c>
      <c r="E213" s="1278"/>
      <c r="F213" s="820">
        <v>0.8</v>
      </c>
      <c r="G213" s="616" t="s">
        <v>0</v>
      </c>
      <c r="H213" s="472"/>
      <c r="I213" s="472"/>
      <c r="J213" s="472"/>
      <c r="K213" s="472"/>
      <c r="L213" s="472"/>
      <c r="M213" s="472"/>
      <c r="N213" s="472"/>
      <c r="O213" s="472"/>
      <c r="P213" s="472"/>
      <c r="Q213" s="796"/>
      <c r="R213" s="796"/>
      <c r="S213" s="799"/>
      <c r="T213" s="457"/>
      <c r="U213" s="457"/>
      <c r="V213" s="435"/>
      <c r="W213" s="432"/>
    </row>
    <row r="214" spans="2:23">
      <c r="B214" s="433"/>
      <c r="C214" s="616"/>
      <c r="D214" s="800"/>
      <c r="E214" s="616"/>
      <c r="F214" s="616"/>
      <c r="G214" s="174"/>
      <c r="H214" s="472"/>
      <c r="I214" s="472"/>
      <c r="J214" s="472"/>
      <c r="K214" s="472"/>
      <c r="L214" s="472"/>
      <c r="M214" s="472"/>
      <c r="N214" s="472"/>
      <c r="O214" s="472"/>
      <c r="P214" s="472"/>
      <c r="Q214" s="796"/>
      <c r="R214" s="796"/>
      <c r="S214" s="799"/>
      <c r="T214" s="457"/>
      <c r="U214" s="457"/>
      <c r="V214" s="435"/>
      <c r="W214" s="432"/>
    </row>
    <row r="215" spans="2:23" ht="12.75" customHeight="1">
      <c r="B215" s="433"/>
      <c r="C215" s="205" t="s">
        <v>1655</v>
      </c>
      <c r="D215" s="1273" t="s">
        <v>1528</v>
      </c>
      <c r="E215" s="1273"/>
      <c r="F215" s="1273"/>
      <c r="G215" s="1273"/>
      <c r="H215" s="1273"/>
      <c r="I215" s="1273"/>
      <c r="J215" s="1273"/>
      <c r="K215" s="1273"/>
      <c r="L215" s="1273"/>
      <c r="M215" s="1273"/>
      <c r="N215" s="1273"/>
      <c r="O215" s="1273"/>
      <c r="P215" s="1273"/>
      <c r="S215" s="799"/>
      <c r="T215" s="457"/>
      <c r="U215" s="457"/>
      <c r="V215" s="435"/>
      <c r="W215" s="432"/>
    </row>
    <row r="216" spans="2:23">
      <c r="B216" s="433"/>
      <c r="C216" s="616"/>
      <c r="D216" s="800"/>
      <c r="E216" s="472" t="s">
        <v>1676</v>
      </c>
      <c r="F216" s="616"/>
      <c r="G216" s="174"/>
      <c r="H216" s="472"/>
      <c r="I216" s="472"/>
      <c r="J216" s="472"/>
      <c r="K216" s="472"/>
      <c r="L216" s="472"/>
      <c r="M216" s="472"/>
      <c r="N216" s="472"/>
      <c r="O216" s="472"/>
      <c r="P216" s="472"/>
      <c r="Q216" s="795">
        <f>(F219*F220*F221)+F222</f>
        <v>0.97200000000000009</v>
      </c>
      <c r="R216" s="796" t="s">
        <v>18</v>
      </c>
      <c r="S216" s="799"/>
      <c r="T216" s="457"/>
      <c r="U216" s="457"/>
      <c r="V216" s="435"/>
      <c r="W216" s="432"/>
    </row>
    <row r="217" spans="2:23">
      <c r="B217" s="433"/>
      <c r="C217" s="616"/>
      <c r="D217" s="800"/>
      <c r="E217" s="616"/>
      <c r="F217" s="616"/>
      <c r="G217" s="174"/>
      <c r="H217" s="472"/>
      <c r="I217" s="472"/>
      <c r="J217" s="472"/>
      <c r="K217" s="472"/>
      <c r="L217" s="472"/>
      <c r="M217" s="472"/>
      <c r="N217" s="472"/>
      <c r="O217" s="472"/>
      <c r="P217" s="472"/>
      <c r="Q217" s="796"/>
      <c r="R217" s="796"/>
      <c r="S217" s="799"/>
      <c r="T217" s="457"/>
      <c r="U217" s="457"/>
      <c r="V217" s="435"/>
      <c r="W217" s="432"/>
    </row>
    <row r="218" spans="2:23">
      <c r="B218" s="433"/>
      <c r="D218" s="616" t="s">
        <v>1500</v>
      </c>
      <c r="E218" s="616"/>
      <c r="F218" s="616"/>
      <c r="G218" s="174"/>
      <c r="H218" s="472"/>
      <c r="I218" s="472"/>
      <c r="J218" s="472"/>
      <c r="K218" s="472"/>
      <c r="L218" s="472"/>
      <c r="M218" s="472"/>
      <c r="N218" s="472"/>
      <c r="O218" s="472"/>
      <c r="P218" s="472"/>
      <c r="Q218" s="796"/>
      <c r="R218" s="796"/>
      <c r="S218" s="799"/>
      <c r="T218" s="457"/>
      <c r="U218" s="457"/>
      <c r="V218" s="435"/>
      <c r="W218" s="432"/>
    </row>
    <row r="219" spans="2:23">
      <c r="B219" s="433"/>
      <c r="D219" s="1272" t="s">
        <v>1525</v>
      </c>
      <c r="E219" s="1272"/>
      <c r="F219" s="820">
        <v>18</v>
      </c>
      <c r="G219" s="616" t="s">
        <v>0</v>
      </c>
      <c r="H219" s="472"/>
      <c r="I219" s="472"/>
      <c r="J219" s="472"/>
      <c r="K219" s="472"/>
      <c r="L219" s="472"/>
      <c r="M219" s="472"/>
      <c r="N219" s="472"/>
      <c r="O219" s="472"/>
      <c r="P219" s="472"/>
      <c r="Q219" s="796"/>
      <c r="R219" s="796"/>
      <c r="S219" s="799"/>
      <c r="T219" s="457"/>
      <c r="U219" s="457"/>
      <c r="V219" s="435"/>
      <c r="W219" s="432"/>
    </row>
    <row r="220" spans="2:23">
      <c r="B220" s="433"/>
      <c r="D220" s="1272" t="s">
        <v>1167</v>
      </c>
      <c r="E220" s="1272"/>
      <c r="F220" s="820">
        <v>0.05</v>
      </c>
      <c r="G220" s="472" t="s">
        <v>0</v>
      </c>
      <c r="H220" s="472"/>
      <c r="I220" s="472"/>
      <c r="J220" s="472"/>
      <c r="K220" s="472"/>
      <c r="L220" s="472"/>
      <c r="M220" s="472"/>
      <c r="N220" s="472"/>
      <c r="O220" s="472"/>
      <c r="P220" s="472"/>
      <c r="Q220" s="796"/>
      <c r="R220" s="796"/>
      <c r="S220" s="799"/>
      <c r="T220" s="457"/>
      <c r="U220" s="457"/>
      <c r="V220" s="435"/>
      <c r="W220" s="432"/>
    </row>
    <row r="221" spans="2:23">
      <c r="B221" s="433"/>
      <c r="D221" s="1274" t="s">
        <v>1520</v>
      </c>
      <c r="E221" s="1274"/>
      <c r="F221" s="820">
        <v>0.8</v>
      </c>
      <c r="G221" s="616" t="s">
        <v>0</v>
      </c>
      <c r="H221" s="472"/>
      <c r="I221" s="472"/>
      <c r="J221" s="472"/>
      <c r="K221" s="472"/>
      <c r="L221" s="472"/>
      <c r="M221" s="472"/>
      <c r="N221" s="472"/>
      <c r="O221" s="472"/>
      <c r="P221" s="472"/>
      <c r="Q221" s="796"/>
      <c r="R221" s="796"/>
      <c r="S221" s="799"/>
      <c r="T221" s="457"/>
      <c r="U221" s="457"/>
      <c r="V221" s="435"/>
      <c r="W221" s="432"/>
    </row>
    <row r="222" spans="2:23">
      <c r="B222" s="433"/>
      <c r="D222" s="616" t="s">
        <v>1680</v>
      </c>
      <c r="E222" s="616"/>
      <c r="F222" s="820">
        <f>Q187*0.07</f>
        <v>0.252</v>
      </c>
      <c r="G222" s="616" t="s">
        <v>18</v>
      </c>
      <c r="H222" s="472"/>
      <c r="I222" s="472"/>
      <c r="J222" s="472"/>
      <c r="K222" s="472"/>
      <c r="L222" s="472"/>
      <c r="M222" s="472"/>
      <c r="N222" s="472"/>
      <c r="O222" s="472"/>
      <c r="P222" s="472"/>
      <c r="Q222" s="796"/>
      <c r="R222" s="796"/>
      <c r="S222" s="799"/>
      <c r="T222" s="457"/>
      <c r="U222" s="457"/>
      <c r="V222" s="435"/>
      <c r="W222" s="432"/>
    </row>
    <row r="223" spans="2:23">
      <c r="B223" s="433"/>
      <c r="C223" s="616"/>
      <c r="D223" s="800"/>
      <c r="E223" s="616"/>
      <c r="F223" s="616"/>
      <c r="G223" s="174"/>
      <c r="H223" s="472"/>
      <c r="I223" s="472"/>
      <c r="J223" s="472"/>
      <c r="K223" s="472"/>
      <c r="L223" s="472"/>
      <c r="M223" s="472"/>
      <c r="N223" s="472"/>
      <c r="O223" s="472"/>
      <c r="P223" s="472"/>
      <c r="Q223" s="796"/>
      <c r="R223" s="796"/>
      <c r="S223" s="799"/>
      <c r="T223" s="457"/>
      <c r="U223" s="457"/>
      <c r="V223" s="435"/>
      <c r="W223" s="432"/>
    </row>
    <row r="224" spans="2:23" ht="12.75" customHeight="1">
      <c r="B224" s="433"/>
      <c r="C224" s="205" t="s">
        <v>1656</v>
      </c>
      <c r="D224" s="1273" t="s">
        <v>1529</v>
      </c>
      <c r="E224" s="1273"/>
      <c r="F224" s="1273"/>
      <c r="G224" s="1273"/>
      <c r="H224" s="1273"/>
      <c r="I224" s="1273"/>
      <c r="J224" s="1273"/>
      <c r="K224" s="1273"/>
      <c r="L224" s="1273"/>
      <c r="M224" s="1273"/>
      <c r="N224" s="1273"/>
      <c r="O224" s="1273"/>
      <c r="P224" s="1273"/>
      <c r="S224" s="799"/>
      <c r="T224" s="457"/>
      <c r="U224" s="457"/>
      <c r="V224" s="435"/>
      <c r="W224" s="432"/>
    </row>
    <row r="225" spans="2:23">
      <c r="B225" s="433"/>
      <c r="C225" s="616"/>
      <c r="D225" s="800"/>
      <c r="E225" s="472" t="s">
        <v>1673</v>
      </c>
      <c r="F225" s="616"/>
      <c r="G225" s="174"/>
      <c r="H225" s="472"/>
      <c r="I225" s="472"/>
      <c r="J225" s="472"/>
      <c r="K225" s="472"/>
      <c r="L225" s="472"/>
      <c r="M225" s="472"/>
      <c r="N225" s="472"/>
      <c r="O225" s="472"/>
      <c r="P225" s="472"/>
      <c r="Q225" s="795">
        <f>F228*F229</f>
        <v>3.5999999999999996</v>
      </c>
      <c r="R225" s="796" t="s">
        <v>17</v>
      </c>
      <c r="S225" s="799"/>
      <c r="T225" s="457"/>
      <c r="U225" s="457"/>
      <c r="V225" s="435"/>
      <c r="W225" s="432"/>
    </row>
    <row r="226" spans="2:23">
      <c r="B226" s="433"/>
      <c r="C226" s="616"/>
      <c r="D226" s="800"/>
      <c r="E226" s="616"/>
      <c r="F226" s="616"/>
      <c r="G226" s="174"/>
      <c r="H226" s="472"/>
      <c r="I226" s="472"/>
      <c r="J226" s="472"/>
      <c r="K226" s="472"/>
      <c r="L226" s="472"/>
      <c r="M226" s="472"/>
      <c r="N226" s="472"/>
      <c r="O226" s="472"/>
      <c r="P226" s="472"/>
      <c r="Q226" s="796"/>
      <c r="R226" s="796"/>
      <c r="S226" s="799"/>
      <c r="T226" s="457"/>
      <c r="U226" s="457"/>
      <c r="V226" s="435"/>
      <c r="W226" s="432"/>
    </row>
    <row r="227" spans="2:23">
      <c r="B227" s="433"/>
      <c r="C227" s="534"/>
      <c r="D227" s="616" t="s">
        <v>1500</v>
      </c>
      <c r="E227" s="616"/>
      <c r="F227" s="616"/>
      <c r="G227" s="174"/>
      <c r="H227" s="472"/>
      <c r="I227" s="472"/>
      <c r="J227" s="472"/>
      <c r="K227" s="472"/>
      <c r="L227" s="472"/>
      <c r="M227" s="472"/>
      <c r="N227" s="472"/>
      <c r="O227" s="472"/>
      <c r="P227" s="472"/>
      <c r="Q227" s="796"/>
      <c r="R227" s="796"/>
      <c r="S227" s="799"/>
      <c r="T227" s="457"/>
      <c r="U227" s="457"/>
      <c r="V227" s="435"/>
      <c r="W227" s="432"/>
    </row>
    <row r="228" spans="2:23">
      <c r="B228" s="433"/>
      <c r="C228" s="750"/>
      <c r="D228" s="1272" t="s">
        <v>822</v>
      </c>
      <c r="E228" s="1272"/>
      <c r="F228" s="820">
        <v>1.2</v>
      </c>
      <c r="G228" s="616" t="s">
        <v>0</v>
      </c>
      <c r="H228" s="472"/>
      <c r="I228" s="472"/>
      <c r="J228" s="472"/>
      <c r="K228" s="472"/>
      <c r="L228" s="472"/>
      <c r="M228" s="472"/>
      <c r="N228" s="472"/>
      <c r="O228" s="472"/>
      <c r="P228" s="472"/>
      <c r="Q228" s="796"/>
      <c r="R228" s="796"/>
      <c r="S228" s="799"/>
      <c r="T228" s="457"/>
      <c r="U228" s="457"/>
      <c r="V228" s="435"/>
      <c r="W228" s="432"/>
    </row>
    <row r="229" spans="2:23">
      <c r="B229" s="433"/>
      <c r="C229" s="616"/>
      <c r="D229" s="1274" t="s">
        <v>858</v>
      </c>
      <c r="E229" s="1274"/>
      <c r="F229" s="820">
        <v>3</v>
      </c>
      <c r="G229" s="616" t="s">
        <v>0</v>
      </c>
      <c r="H229" s="472"/>
      <c r="I229" s="472"/>
      <c r="J229" s="472"/>
      <c r="K229" s="472"/>
      <c r="L229" s="472"/>
      <c r="M229" s="472"/>
      <c r="N229" s="472"/>
      <c r="O229" s="472"/>
      <c r="P229" s="472"/>
      <c r="Q229" s="796"/>
      <c r="R229" s="796"/>
      <c r="S229" s="799"/>
      <c r="T229" s="457"/>
      <c r="U229" s="457"/>
      <c r="V229" s="435"/>
      <c r="W229" s="432"/>
    </row>
    <row r="230" spans="2:23">
      <c r="B230" s="433"/>
      <c r="C230" s="750"/>
      <c r="D230" s="800"/>
      <c r="E230" s="616"/>
      <c r="F230" s="616"/>
      <c r="G230" s="174"/>
      <c r="H230" s="472"/>
      <c r="I230" s="472"/>
      <c r="J230" s="472"/>
      <c r="K230" s="472"/>
      <c r="L230" s="472"/>
      <c r="M230" s="472"/>
      <c r="N230" s="472"/>
      <c r="O230" s="472"/>
      <c r="P230" s="472"/>
      <c r="Q230" s="796"/>
      <c r="R230" s="796"/>
      <c r="S230" s="799"/>
      <c r="T230" s="457"/>
      <c r="U230" s="457"/>
      <c r="V230" s="435"/>
      <c r="W230" s="432"/>
    </row>
    <row r="231" spans="2:23">
      <c r="B231" s="433"/>
      <c r="C231" s="205" t="s">
        <v>357</v>
      </c>
      <c r="D231" s="177" t="str">
        <f>PLANILHA!B53</f>
        <v>Mão de obra para a instalação da Lista nº 01</v>
      </c>
      <c r="E231" s="616"/>
      <c r="F231" s="616"/>
      <c r="G231" s="174"/>
      <c r="H231" s="472"/>
      <c r="I231" s="472"/>
      <c r="J231" s="472"/>
      <c r="K231" s="472"/>
      <c r="L231" s="472"/>
      <c r="M231" s="472"/>
      <c r="N231" s="472"/>
      <c r="O231" s="472"/>
      <c r="P231" s="472"/>
      <c r="Q231" s="796"/>
      <c r="R231" s="796"/>
      <c r="S231" s="799"/>
      <c r="T231" s="457"/>
      <c r="U231" s="457"/>
      <c r="V231" s="435"/>
      <c r="W231" s="432"/>
    </row>
    <row r="232" spans="2:23">
      <c r="B232" s="433"/>
      <c r="C232" s="205"/>
      <c r="D232" s="177"/>
      <c r="E232" s="616"/>
      <c r="F232" s="616"/>
      <c r="G232" s="174"/>
      <c r="H232" s="472"/>
      <c r="I232" s="472"/>
      <c r="J232" s="472"/>
      <c r="K232" s="472"/>
      <c r="L232" s="472"/>
      <c r="M232" s="472"/>
      <c r="N232" s="472"/>
      <c r="O232" s="472"/>
      <c r="P232" s="472"/>
      <c r="Q232" s="796"/>
      <c r="R232" s="796"/>
      <c r="S232" s="799"/>
      <c r="T232" s="457"/>
      <c r="U232" s="457"/>
      <c r="V232" s="435"/>
      <c r="W232" s="432"/>
    </row>
    <row r="233" spans="2:23">
      <c r="D233" s="1275" t="s">
        <v>102</v>
      </c>
      <c r="E233" s="1275"/>
      <c r="F233" s="1275"/>
      <c r="G233" s="1275"/>
      <c r="H233" s="1275"/>
      <c r="I233" s="1275"/>
      <c r="J233" s="1275"/>
      <c r="M233" s="137"/>
      <c r="N233" s="135" t="s">
        <v>1493</v>
      </c>
      <c r="O233" s="524"/>
      <c r="P233" s="472"/>
      <c r="Q233" s="472"/>
      <c r="R233" s="796"/>
      <c r="S233" s="799"/>
      <c r="T233" s="457"/>
      <c r="U233" s="457"/>
      <c r="V233" s="435"/>
      <c r="W233" s="432"/>
    </row>
    <row r="234" spans="2:23">
      <c r="D234" s="1276" t="s">
        <v>103</v>
      </c>
      <c r="E234" s="1276"/>
      <c r="F234" s="1276"/>
      <c r="G234" s="1276"/>
      <c r="H234" s="1276"/>
      <c r="I234" s="1276"/>
      <c r="J234" s="1276"/>
      <c r="M234" s="802"/>
      <c r="N234" s="823">
        <v>5</v>
      </c>
      <c r="O234" s="754" t="s">
        <v>107</v>
      </c>
      <c r="P234" s="472"/>
      <c r="Q234" s="472"/>
      <c r="R234" s="796"/>
      <c r="S234" s="799"/>
      <c r="T234" s="457"/>
      <c r="U234" s="457"/>
      <c r="V234" s="435"/>
      <c r="W234" s="432"/>
    </row>
    <row r="235" spans="2:23">
      <c r="C235" s="135"/>
      <c r="D235" s="828"/>
      <c r="E235" s="824"/>
      <c r="F235" s="824"/>
      <c r="G235" s="824"/>
      <c r="H235" s="824"/>
      <c r="I235" s="824"/>
      <c r="J235" s="135"/>
      <c r="K235" s="135"/>
      <c r="L235" s="752"/>
      <c r="M235" s="759"/>
      <c r="N235" s="1147"/>
      <c r="O235" s="1147"/>
      <c r="P235" s="1017"/>
      <c r="Q235" s="1017"/>
      <c r="R235" s="796"/>
      <c r="S235" s="799"/>
      <c r="T235" s="457"/>
      <c r="U235" s="457"/>
      <c r="V235" s="435"/>
      <c r="W235" s="432"/>
    </row>
    <row r="236" spans="2:23" ht="12.75" customHeight="1">
      <c r="D236" s="753">
        <v>4</v>
      </c>
      <c r="E236" s="827" t="s">
        <v>108</v>
      </c>
      <c r="F236" s="1264" t="s">
        <v>1678</v>
      </c>
      <c r="G236" s="1265"/>
      <c r="H236" s="1266"/>
      <c r="I236" s="753">
        <f>D236*$N$234</f>
        <v>20</v>
      </c>
      <c r="J236" s="827" t="s">
        <v>108</v>
      </c>
      <c r="K236" s="405"/>
      <c r="L236" s="405"/>
      <c r="M236" s="405"/>
      <c r="N236" s="135"/>
      <c r="O236" s="135"/>
      <c r="P236" s="135"/>
      <c r="Q236" s="135"/>
      <c r="R236" s="796"/>
      <c r="S236" s="799"/>
      <c r="T236" s="457"/>
      <c r="U236" s="457"/>
      <c r="V236" s="435"/>
      <c r="W236" s="432"/>
    </row>
    <row r="237" spans="2:23" ht="12.75" customHeight="1">
      <c r="D237" s="753">
        <v>8</v>
      </c>
      <c r="E237" s="827" t="s">
        <v>108</v>
      </c>
      <c r="F237" s="1264" t="s">
        <v>1533</v>
      </c>
      <c r="G237" s="1265"/>
      <c r="H237" s="1266"/>
      <c r="I237" s="753">
        <f t="shared" ref="I237:I238" si="0">D237*$N$234</f>
        <v>40</v>
      </c>
      <c r="J237" s="827" t="s">
        <v>108</v>
      </c>
      <c r="K237" s="405"/>
      <c r="L237" s="405"/>
      <c r="M237" s="405"/>
      <c r="N237" s="524"/>
      <c r="O237" s="135"/>
      <c r="P237" s="524"/>
      <c r="Q237" s="524"/>
      <c r="R237" s="796"/>
      <c r="S237" s="799"/>
      <c r="T237" s="457"/>
      <c r="U237" s="457"/>
      <c r="V237" s="435"/>
      <c r="W237" s="432"/>
    </row>
    <row r="238" spans="2:23" ht="12.75" customHeight="1">
      <c r="D238" s="753">
        <v>8</v>
      </c>
      <c r="E238" s="827" t="s">
        <v>108</v>
      </c>
      <c r="F238" s="1264" t="s">
        <v>1677</v>
      </c>
      <c r="G238" s="1265"/>
      <c r="H238" s="1266"/>
      <c r="I238" s="753">
        <f t="shared" si="0"/>
        <v>40</v>
      </c>
      <c r="J238" s="827" t="s">
        <v>108</v>
      </c>
      <c r="K238" s="405"/>
      <c r="L238" s="405"/>
      <c r="M238" s="405"/>
      <c r="N238" s="406"/>
      <c r="O238" s="405"/>
      <c r="P238" s="1274"/>
      <c r="Q238" s="1274"/>
      <c r="R238" s="796"/>
      <c r="S238" s="799"/>
      <c r="T238" s="457"/>
      <c r="U238" s="457"/>
      <c r="V238" s="435"/>
      <c r="W238" s="432"/>
    </row>
    <row r="239" spans="2:23">
      <c r="B239" s="433"/>
      <c r="C239" s="205"/>
      <c r="D239" s="177"/>
      <c r="E239" s="616"/>
      <c r="F239" s="616"/>
      <c r="G239" s="174"/>
      <c r="H239" s="472"/>
      <c r="I239" s="472"/>
      <c r="J239" s="472"/>
      <c r="K239" s="472"/>
      <c r="L239" s="472"/>
      <c r="M239" s="472"/>
      <c r="N239" s="472"/>
      <c r="O239" s="472"/>
      <c r="P239" s="472"/>
      <c r="Q239" s="796"/>
      <c r="R239" s="796"/>
      <c r="S239" s="799"/>
      <c r="T239" s="457"/>
      <c r="U239" s="457"/>
      <c r="V239" s="435"/>
      <c r="W239" s="432"/>
    </row>
    <row r="240" spans="2:23">
      <c r="D240" s="177" t="s">
        <v>115</v>
      </c>
      <c r="E240" s="177"/>
      <c r="F240" s="177"/>
      <c r="G240" s="177"/>
      <c r="H240" s="478"/>
      <c r="I240" s="472"/>
      <c r="J240" s="472"/>
      <c r="K240" s="472"/>
      <c r="L240" s="472"/>
      <c r="M240" s="472"/>
      <c r="N240" s="472"/>
      <c r="O240" s="472"/>
      <c r="P240" s="479"/>
      <c r="Q240" s="534"/>
      <c r="R240" s="806"/>
      <c r="S240" s="799"/>
      <c r="T240" s="457"/>
      <c r="U240" s="457"/>
      <c r="V240" s="435"/>
      <c r="W240" s="432"/>
    </row>
    <row r="241" spans="2:23">
      <c r="B241" s="433"/>
      <c r="C241" s="809"/>
      <c r="D241" s="236" t="str">
        <f>PLANILHA!A54</f>
        <v>3.3.1</v>
      </c>
      <c r="E241" s="810" t="s">
        <v>1228</v>
      </c>
      <c r="F241" s="755"/>
      <c r="G241" s="760"/>
      <c r="H241" s="811"/>
      <c r="I241" s="472"/>
      <c r="J241" s="472"/>
      <c r="K241" s="472"/>
      <c r="L241" s="472"/>
      <c r="M241" s="472"/>
      <c r="N241" s="472"/>
      <c r="O241" s="472"/>
      <c r="P241" s="479"/>
      <c r="Q241" s="812">
        <f>I236</f>
        <v>20</v>
      </c>
      <c r="R241" s="806" t="s">
        <v>108</v>
      </c>
      <c r="S241" s="799"/>
      <c r="T241" s="457"/>
      <c r="U241" s="457"/>
      <c r="V241" s="435"/>
      <c r="W241" s="432"/>
    </row>
    <row r="242" spans="2:23">
      <c r="B242" s="433"/>
      <c r="C242" s="806"/>
      <c r="D242" s="236" t="str">
        <f>PLANILHA!A55</f>
        <v>3.3.2</v>
      </c>
      <c r="E242" s="807" t="s">
        <v>1531</v>
      </c>
      <c r="F242" s="489"/>
      <c r="G242" s="487"/>
      <c r="H242" s="811"/>
      <c r="I242" s="472"/>
      <c r="J242" s="472"/>
      <c r="K242" s="472"/>
      <c r="L242" s="472"/>
      <c r="M242" s="472"/>
      <c r="N242" s="799"/>
      <c r="O242" s="808"/>
      <c r="P242" s="804"/>
      <c r="Q242" s="812">
        <f>I237</f>
        <v>40</v>
      </c>
      <c r="R242" s="806" t="s">
        <v>108</v>
      </c>
      <c r="S242" s="799"/>
      <c r="T242" s="457"/>
      <c r="U242" s="457"/>
      <c r="V242" s="435"/>
      <c r="W242" s="432"/>
    </row>
    <row r="243" spans="2:23">
      <c r="B243" s="433"/>
      <c r="C243" s="806"/>
      <c r="D243" s="236" t="str">
        <f>PLANILHA!A56</f>
        <v>3.3.3</v>
      </c>
      <c r="E243" s="807" t="s">
        <v>1532</v>
      </c>
      <c r="F243" s="489"/>
      <c r="G243" s="487"/>
      <c r="H243" s="804"/>
      <c r="I243" s="808"/>
      <c r="J243" s="808"/>
      <c r="K243" s="808"/>
      <c r="L243" s="808"/>
      <c r="M243" s="808"/>
      <c r="N243" s="804"/>
      <c r="O243" s="804"/>
      <c r="P243" s="804"/>
      <c r="Q243" s="812">
        <f>I238*2</f>
        <v>80</v>
      </c>
      <c r="R243" s="806" t="s">
        <v>108</v>
      </c>
      <c r="S243" s="799"/>
      <c r="T243" s="457"/>
      <c r="U243" s="457"/>
      <c r="V243" s="435"/>
      <c r="W243" s="432"/>
    </row>
    <row r="244" spans="2:23">
      <c r="B244" s="433"/>
      <c r="C244" s="534"/>
      <c r="D244" s="616"/>
      <c r="E244" s="616"/>
      <c r="F244" s="616"/>
      <c r="G244" s="174"/>
      <c r="H244" s="472"/>
      <c r="I244" s="472"/>
      <c r="J244" s="472"/>
      <c r="K244" s="472"/>
      <c r="L244" s="472"/>
      <c r="M244" s="472"/>
      <c r="N244" s="472"/>
      <c r="O244" s="472"/>
      <c r="P244" s="472"/>
      <c r="Q244" s="796"/>
      <c r="R244" s="534"/>
      <c r="S244" s="799"/>
      <c r="T244" s="457"/>
      <c r="U244" s="457"/>
      <c r="V244" s="435"/>
      <c r="W244" s="432"/>
    </row>
    <row r="245" spans="2:23">
      <c r="B245" s="433"/>
      <c r="C245" s="205" t="s">
        <v>360</v>
      </c>
      <c r="D245" s="1273" t="str">
        <f>PLANILHA!B57</f>
        <v>Inteligações de redes de Chegada do novo reservatório de 500 m³</v>
      </c>
      <c r="E245" s="1273"/>
      <c r="F245" s="1273"/>
      <c r="G245" s="1273"/>
      <c r="H245" s="1273"/>
      <c r="I245" s="1273"/>
      <c r="J245" s="1273"/>
      <c r="K245" s="1273"/>
      <c r="L245" s="1273"/>
      <c r="M245" s="1273"/>
      <c r="N245" s="1273"/>
      <c r="O245" s="1273"/>
      <c r="P245" s="1273"/>
      <c r="R245" s="317"/>
      <c r="S245" s="799"/>
      <c r="T245" s="457"/>
      <c r="U245" s="457"/>
      <c r="V245" s="435"/>
      <c r="W245" s="432"/>
    </row>
    <row r="246" spans="2:23">
      <c r="B246" s="433"/>
      <c r="C246" s="205" t="s">
        <v>1589</v>
      </c>
      <c r="D246" s="1273" t="str">
        <f>PLANILHA!B58</f>
        <v>Demolição de passeio cimentado, de forma manual, sem reaproveitamento</v>
      </c>
      <c r="E246" s="1273"/>
      <c r="F246" s="1273"/>
      <c r="G246" s="1273"/>
      <c r="H246" s="1273"/>
      <c r="I246" s="1273"/>
      <c r="J246" s="1273"/>
      <c r="K246" s="801"/>
      <c r="L246" s="801"/>
      <c r="M246" s="801"/>
      <c r="N246" s="801"/>
      <c r="O246" s="801"/>
      <c r="P246" s="801"/>
      <c r="Q246" s="796"/>
      <c r="R246" s="796"/>
      <c r="S246" s="799"/>
      <c r="T246" s="457"/>
      <c r="U246" s="457"/>
      <c r="V246" s="435"/>
      <c r="W246" s="432"/>
    </row>
    <row r="247" spans="2:23">
      <c r="B247" s="433"/>
      <c r="C247" s="616"/>
      <c r="D247" s="800"/>
      <c r="E247" s="472" t="s">
        <v>1673</v>
      </c>
      <c r="F247" s="616"/>
      <c r="G247" s="174"/>
      <c r="H247" s="472"/>
      <c r="I247" s="472"/>
      <c r="J247" s="472"/>
      <c r="K247" s="472"/>
      <c r="L247" s="472"/>
      <c r="M247" s="472"/>
      <c r="N247" s="472"/>
      <c r="O247" s="472"/>
      <c r="P247" s="472"/>
      <c r="Q247" s="795">
        <f>F250*F251</f>
        <v>12</v>
      </c>
      <c r="R247" s="796" t="s">
        <v>17</v>
      </c>
      <c r="S247" s="799"/>
      <c r="T247" s="457"/>
      <c r="U247" s="457"/>
      <c r="V247" s="435"/>
      <c r="W247" s="432"/>
    </row>
    <row r="248" spans="2:23">
      <c r="B248" s="433"/>
      <c r="C248" s="616"/>
      <c r="D248" s="800"/>
      <c r="E248" s="616"/>
      <c r="F248" s="616"/>
      <c r="G248" s="174"/>
      <c r="H248" s="472"/>
      <c r="I248" s="472"/>
      <c r="J248" s="472"/>
      <c r="K248" s="472"/>
      <c r="L248" s="472"/>
      <c r="M248" s="472"/>
      <c r="N248" s="472"/>
      <c r="O248" s="472"/>
      <c r="P248" s="472"/>
      <c r="Q248" s="796"/>
      <c r="R248" s="796"/>
      <c r="S248" s="799"/>
      <c r="T248" s="457"/>
      <c r="U248" s="457"/>
      <c r="V248" s="435"/>
      <c r="W248" s="432"/>
    </row>
    <row r="249" spans="2:23">
      <c r="B249" s="433"/>
      <c r="D249" s="616" t="s">
        <v>1500</v>
      </c>
      <c r="E249" s="616"/>
      <c r="F249" s="616"/>
      <c r="G249" s="174"/>
      <c r="H249" s="472"/>
      <c r="I249" s="472"/>
      <c r="J249" s="472"/>
      <c r="K249" s="472"/>
      <c r="L249" s="472"/>
      <c r="M249" s="472"/>
      <c r="N249" s="472"/>
      <c r="O249" s="472"/>
      <c r="P249" s="472"/>
      <c r="Q249" s="796"/>
      <c r="R249" s="796"/>
      <c r="S249" s="799"/>
      <c r="T249" s="457"/>
      <c r="U249" s="457"/>
      <c r="V249" s="435"/>
      <c r="W249" s="432"/>
    </row>
    <row r="250" spans="2:23">
      <c r="B250" s="433"/>
      <c r="D250" s="1272" t="s">
        <v>822</v>
      </c>
      <c r="E250" s="1272"/>
      <c r="F250" s="820">
        <v>3</v>
      </c>
      <c r="G250" s="616" t="s">
        <v>0</v>
      </c>
      <c r="H250" s="472"/>
      <c r="I250" s="472"/>
      <c r="J250" s="472"/>
      <c r="K250" s="472"/>
      <c r="L250" s="472"/>
      <c r="M250" s="472"/>
      <c r="N250" s="472"/>
      <c r="O250" s="472"/>
      <c r="P250" s="472"/>
      <c r="Q250" s="796"/>
      <c r="R250" s="796"/>
      <c r="S250" s="799"/>
      <c r="T250" s="457"/>
      <c r="U250" s="457"/>
      <c r="V250" s="435"/>
      <c r="W250" s="432"/>
    </row>
    <row r="251" spans="2:23">
      <c r="B251" s="433"/>
      <c r="D251" s="1274" t="s">
        <v>858</v>
      </c>
      <c r="E251" s="1274"/>
      <c r="F251" s="820">
        <v>4</v>
      </c>
      <c r="G251" s="616" t="s">
        <v>0</v>
      </c>
      <c r="H251" s="472"/>
      <c r="I251" s="472"/>
      <c r="J251" s="472"/>
      <c r="K251" s="472"/>
      <c r="L251" s="472"/>
      <c r="M251" s="472"/>
      <c r="N251" s="472"/>
      <c r="O251" s="472"/>
      <c r="P251" s="472"/>
      <c r="Q251" s="796"/>
      <c r="R251" s="796"/>
      <c r="S251" s="799"/>
      <c r="T251" s="457"/>
      <c r="U251" s="457"/>
      <c r="V251" s="435"/>
      <c r="W251" s="432"/>
    </row>
    <row r="252" spans="2:23">
      <c r="B252" s="433"/>
      <c r="D252" s="1272"/>
      <c r="E252" s="1272"/>
      <c r="F252" s="800"/>
      <c r="G252" s="616"/>
      <c r="H252" s="472"/>
      <c r="I252" s="472"/>
      <c r="J252" s="472"/>
      <c r="K252" s="472"/>
      <c r="L252" s="472"/>
      <c r="M252" s="472"/>
      <c r="N252" s="472"/>
      <c r="O252" s="472"/>
      <c r="P252" s="472"/>
      <c r="Q252" s="796"/>
      <c r="R252" s="796"/>
      <c r="S252" s="799"/>
      <c r="T252" s="457"/>
      <c r="U252" s="457"/>
      <c r="V252" s="435"/>
      <c r="W252" s="432"/>
    </row>
    <row r="253" spans="2:23" ht="25.5" customHeight="1">
      <c r="B253" s="433"/>
      <c r="C253" s="205" t="s">
        <v>1643</v>
      </c>
      <c r="D253" s="1273" t="s">
        <v>1559</v>
      </c>
      <c r="E253" s="1273"/>
      <c r="F253" s="1273"/>
      <c r="G253" s="1273"/>
      <c r="H253" s="1273"/>
      <c r="I253" s="1273"/>
      <c r="J253" s="1273"/>
      <c r="K253" s="1273"/>
      <c r="L253" s="1273"/>
      <c r="M253" s="1273"/>
      <c r="N253" s="1273"/>
      <c r="O253" s="1273"/>
      <c r="P253" s="1273"/>
      <c r="S253" s="799"/>
      <c r="T253" s="457"/>
      <c r="U253" s="457"/>
      <c r="V253" s="435"/>
      <c r="W253" s="432"/>
    </row>
    <row r="254" spans="2:23" ht="14.1" customHeight="1">
      <c r="B254" s="433"/>
      <c r="C254" s="534"/>
      <c r="D254" s="472"/>
      <c r="E254" s="1270" t="s">
        <v>1674</v>
      </c>
      <c r="F254" s="1271"/>
      <c r="G254" s="1271"/>
      <c r="H254" s="1271"/>
      <c r="I254" s="1271"/>
      <c r="J254" s="1271"/>
      <c r="K254" s="1271"/>
      <c r="L254" s="1271"/>
      <c r="M254" s="1271"/>
      <c r="N254" s="1271"/>
      <c r="O254" s="1271"/>
      <c r="P254" s="1271"/>
      <c r="Q254" s="795">
        <f>F257*8</f>
        <v>40</v>
      </c>
      <c r="R254" s="796" t="s">
        <v>179</v>
      </c>
      <c r="S254" s="799"/>
      <c r="T254" s="457"/>
      <c r="U254" s="457"/>
      <c r="V254" s="435"/>
      <c r="W254" s="432"/>
    </row>
    <row r="255" spans="2:23">
      <c r="B255" s="433"/>
      <c r="C255" s="534"/>
      <c r="D255" s="616"/>
      <c r="E255" s="616"/>
      <c r="F255" s="616"/>
      <c r="G255" s="174"/>
      <c r="H255" s="472"/>
      <c r="I255" s="472"/>
      <c r="J255" s="472"/>
      <c r="K255" s="472"/>
      <c r="L255" s="472"/>
      <c r="M255" s="472"/>
      <c r="N255" s="472"/>
      <c r="O255" s="472"/>
      <c r="P255" s="472"/>
      <c r="Q255" s="796"/>
      <c r="R255" s="796"/>
      <c r="S255" s="799"/>
      <c r="T255" s="457"/>
      <c r="U255" s="457"/>
      <c r="V255" s="435"/>
      <c r="W255" s="432"/>
    </row>
    <row r="256" spans="2:23" ht="14.1" customHeight="1">
      <c r="B256" s="433"/>
      <c r="C256" s="534"/>
      <c r="D256" s="616" t="s">
        <v>1500</v>
      </c>
      <c r="E256" s="616"/>
      <c r="F256" s="616"/>
      <c r="G256" s="174"/>
      <c r="H256" s="472"/>
      <c r="I256" s="472"/>
      <c r="J256" s="472"/>
      <c r="K256" s="472"/>
      <c r="L256" s="472"/>
      <c r="M256" s="472"/>
      <c r="N256" s="472"/>
      <c r="O256" s="472"/>
      <c r="P256" s="472"/>
      <c r="Q256" s="796"/>
      <c r="R256" s="796"/>
      <c r="S256" s="799"/>
      <c r="T256" s="457"/>
      <c r="U256" s="457"/>
      <c r="V256" s="435"/>
      <c r="W256" s="432"/>
    </row>
    <row r="257" spans="2:23" ht="14.1" customHeight="1">
      <c r="B257" s="433"/>
      <c r="C257" s="534"/>
      <c r="D257" s="1272" t="s">
        <v>1507</v>
      </c>
      <c r="E257" s="1272"/>
      <c r="F257" s="820">
        <v>5</v>
      </c>
      <c r="G257" s="616" t="s">
        <v>107</v>
      </c>
      <c r="H257" s="472"/>
      <c r="I257" s="472"/>
      <c r="J257" s="472"/>
      <c r="K257" s="472"/>
      <c r="L257" s="472"/>
      <c r="M257" s="472"/>
      <c r="N257" s="472"/>
      <c r="O257" s="472"/>
      <c r="P257" s="472"/>
      <c r="Q257" s="796"/>
      <c r="R257" s="796"/>
      <c r="S257" s="799"/>
      <c r="T257" s="457"/>
      <c r="U257" s="457"/>
      <c r="V257" s="435"/>
      <c r="W257" s="432"/>
    </row>
    <row r="258" spans="2:23">
      <c r="B258" s="433"/>
      <c r="C258" s="750"/>
      <c r="D258" s="800"/>
      <c r="E258" s="472"/>
      <c r="F258" s="616"/>
      <c r="G258" s="174"/>
      <c r="H258" s="472"/>
      <c r="I258" s="472"/>
      <c r="J258" s="472"/>
      <c r="K258" s="472"/>
      <c r="L258" s="472"/>
      <c r="M258" s="472"/>
      <c r="N258" s="472"/>
      <c r="O258" s="472"/>
      <c r="P258" s="472"/>
      <c r="Q258" s="796"/>
      <c r="R258" s="796"/>
      <c r="S258" s="799"/>
      <c r="T258" s="457"/>
      <c r="U258" s="457"/>
      <c r="V258" s="435"/>
      <c r="W258" s="432"/>
    </row>
    <row r="259" spans="2:23">
      <c r="B259" s="433"/>
      <c r="C259" s="205" t="s">
        <v>1644</v>
      </c>
      <c r="D259" s="1273" t="str">
        <f>PLANILHA!B60</f>
        <v>Lastro de areia (e=20cm) para envoltória</v>
      </c>
      <c r="E259" s="1273"/>
      <c r="F259" s="1273"/>
      <c r="G259" s="1273"/>
      <c r="H259" s="1273"/>
      <c r="I259" s="1273"/>
      <c r="J259" s="1273"/>
      <c r="K259" s="1273"/>
      <c r="L259" s="1273"/>
      <c r="M259" s="1273"/>
      <c r="N259" s="1273"/>
      <c r="O259" s="1273"/>
      <c r="P259" s="1273"/>
      <c r="S259" s="799"/>
      <c r="T259" s="457"/>
      <c r="U259" s="457"/>
      <c r="V259" s="435"/>
      <c r="W259" s="432"/>
    </row>
    <row r="260" spans="2:23">
      <c r="B260" s="433"/>
      <c r="C260" s="750"/>
      <c r="D260" s="800"/>
      <c r="E260" s="472" t="s">
        <v>1522</v>
      </c>
      <c r="F260" s="472"/>
      <c r="G260" s="472"/>
      <c r="H260" s="472"/>
      <c r="I260" s="472"/>
      <c r="J260" s="472"/>
      <c r="K260" s="472"/>
      <c r="L260" s="472"/>
      <c r="M260" s="472"/>
      <c r="N260" s="472"/>
      <c r="O260" s="472"/>
      <c r="P260" s="472"/>
      <c r="Q260" s="795">
        <f>F263*F264*F265</f>
        <v>1.9200000000000004</v>
      </c>
      <c r="R260" s="796" t="s">
        <v>18</v>
      </c>
      <c r="S260" s="799"/>
      <c r="T260" s="457"/>
      <c r="U260" s="457"/>
      <c r="V260" s="435"/>
      <c r="W260" s="432"/>
    </row>
    <row r="261" spans="2:23">
      <c r="B261" s="433"/>
      <c r="C261" s="750"/>
      <c r="D261" s="800"/>
      <c r="E261" s="472"/>
      <c r="F261" s="616"/>
      <c r="G261" s="174"/>
      <c r="H261" s="472"/>
      <c r="I261" s="472"/>
      <c r="J261" s="472"/>
      <c r="K261" s="472"/>
      <c r="L261" s="472"/>
      <c r="M261" s="472"/>
      <c r="N261" s="472"/>
      <c r="O261" s="472"/>
      <c r="P261" s="472"/>
      <c r="Q261" s="796"/>
      <c r="R261" s="796"/>
      <c r="S261" s="799"/>
      <c r="T261" s="457"/>
      <c r="U261" s="457"/>
      <c r="V261" s="435"/>
      <c r="W261" s="432"/>
    </row>
    <row r="262" spans="2:23">
      <c r="B262" s="433"/>
      <c r="D262" s="616" t="s">
        <v>1500</v>
      </c>
      <c r="E262" s="616"/>
      <c r="F262" s="616"/>
      <c r="G262" s="174"/>
      <c r="H262" s="472"/>
      <c r="I262" s="472"/>
      <c r="J262" s="472"/>
      <c r="K262" s="472"/>
      <c r="L262" s="472"/>
      <c r="M262" s="472"/>
      <c r="N262" s="472"/>
      <c r="O262" s="472"/>
      <c r="P262" s="472"/>
      <c r="Q262" s="796"/>
      <c r="R262" s="796"/>
      <c r="S262" s="799"/>
      <c r="T262" s="457"/>
      <c r="U262" s="457"/>
      <c r="V262" s="435"/>
      <c r="W262" s="432"/>
    </row>
    <row r="263" spans="2:23">
      <c r="B263" s="433"/>
      <c r="D263" s="1272" t="s">
        <v>1675</v>
      </c>
      <c r="E263" s="1272"/>
      <c r="F263" s="820">
        <v>0.2</v>
      </c>
      <c r="G263" s="616" t="s">
        <v>0</v>
      </c>
      <c r="H263" s="472"/>
      <c r="I263" s="472"/>
      <c r="J263" s="472"/>
      <c r="K263" s="472"/>
      <c r="L263" s="472"/>
      <c r="M263" s="472"/>
      <c r="N263" s="472"/>
      <c r="O263" s="472"/>
      <c r="P263" s="472"/>
      <c r="Q263" s="796"/>
      <c r="R263" s="796"/>
      <c r="S263" s="799"/>
      <c r="T263" s="457"/>
      <c r="U263" s="457"/>
      <c r="V263" s="435"/>
      <c r="W263" s="432"/>
    </row>
    <row r="264" spans="2:23">
      <c r="B264" s="433"/>
      <c r="D264" s="1272" t="s">
        <v>1519</v>
      </c>
      <c r="E264" s="1272"/>
      <c r="F264" s="820">
        <v>12</v>
      </c>
      <c r="G264" s="472" t="s">
        <v>0</v>
      </c>
      <c r="H264" s="472"/>
      <c r="I264" s="472"/>
      <c r="J264" s="472"/>
      <c r="K264" s="472"/>
      <c r="L264" s="472"/>
      <c r="M264" s="472"/>
      <c r="N264" s="472"/>
      <c r="O264" s="472"/>
      <c r="P264" s="472"/>
      <c r="Q264" s="796"/>
      <c r="R264" s="796"/>
      <c r="S264" s="799"/>
      <c r="T264" s="457"/>
      <c r="U264" s="457"/>
      <c r="V264" s="435"/>
      <c r="W264" s="432"/>
    </row>
    <row r="265" spans="2:23">
      <c r="B265" s="433"/>
      <c r="D265" s="1274" t="s">
        <v>1545</v>
      </c>
      <c r="E265" s="1274"/>
      <c r="F265" s="820">
        <v>0.8</v>
      </c>
      <c r="G265" s="616" t="s">
        <v>0</v>
      </c>
      <c r="H265" s="472"/>
      <c r="I265" s="472"/>
      <c r="J265" s="472"/>
      <c r="K265" s="472"/>
      <c r="L265" s="472"/>
      <c r="M265" s="472"/>
      <c r="N265" s="472"/>
      <c r="O265" s="472"/>
      <c r="P265" s="472"/>
      <c r="Q265" s="796"/>
      <c r="R265" s="796"/>
      <c r="S265" s="799"/>
      <c r="T265" s="457"/>
      <c r="U265" s="457"/>
      <c r="V265" s="435"/>
      <c r="W265" s="432"/>
    </row>
    <row r="266" spans="2:23">
      <c r="B266" s="433"/>
      <c r="C266" s="616"/>
      <c r="D266" s="800"/>
      <c r="E266" s="616"/>
      <c r="F266" s="616"/>
      <c r="G266" s="174"/>
      <c r="H266" s="472"/>
      <c r="I266" s="472"/>
      <c r="J266" s="472"/>
      <c r="K266" s="472"/>
      <c r="L266" s="472"/>
      <c r="M266" s="472"/>
      <c r="N266" s="472"/>
      <c r="O266" s="472"/>
      <c r="P266" s="472"/>
      <c r="Q266" s="796"/>
      <c r="R266" s="796"/>
      <c r="S266" s="799"/>
      <c r="T266" s="457"/>
      <c r="U266" s="457"/>
      <c r="V266" s="435"/>
      <c r="W266" s="432"/>
    </row>
    <row r="267" spans="2:23" ht="12.75" customHeight="1">
      <c r="B267" s="433"/>
      <c r="C267" s="205" t="s">
        <v>1645</v>
      </c>
      <c r="D267" s="1273" t="s">
        <v>1523</v>
      </c>
      <c r="E267" s="1273"/>
      <c r="F267" s="1273"/>
      <c r="G267" s="1273"/>
      <c r="H267" s="1273"/>
      <c r="I267" s="1273"/>
      <c r="J267" s="1273"/>
      <c r="K267" s="1273"/>
      <c r="L267" s="1273"/>
      <c r="M267" s="1273"/>
      <c r="N267" s="1273"/>
      <c r="O267" s="1273"/>
      <c r="P267" s="1273"/>
      <c r="Q267" s="796"/>
      <c r="R267" s="796"/>
      <c r="S267" s="799"/>
      <c r="T267" s="457"/>
      <c r="U267" s="457"/>
      <c r="V267" s="435"/>
      <c r="W267" s="432"/>
    </row>
    <row r="268" spans="2:23">
      <c r="B268" s="433"/>
      <c r="C268" s="616"/>
      <c r="D268" s="800"/>
      <c r="E268" s="472" t="s">
        <v>1524</v>
      </c>
      <c r="F268" s="616"/>
      <c r="G268" s="174"/>
      <c r="H268" s="472"/>
      <c r="I268" s="472"/>
      <c r="J268" s="472"/>
      <c r="K268" s="472"/>
      <c r="L268" s="472"/>
      <c r="M268" s="472"/>
      <c r="N268" s="472"/>
      <c r="O268" s="472"/>
      <c r="P268" s="472"/>
      <c r="Q268" s="795">
        <f>F271*F273*F272</f>
        <v>9.6000000000000014</v>
      </c>
      <c r="R268" s="796" t="s">
        <v>18</v>
      </c>
      <c r="S268" s="799"/>
      <c r="T268" s="457"/>
      <c r="U268" s="457"/>
      <c r="V268" s="435"/>
      <c r="W268" s="432"/>
    </row>
    <row r="269" spans="2:23">
      <c r="B269" s="433"/>
      <c r="C269" s="616"/>
      <c r="D269" s="800"/>
      <c r="E269" s="616"/>
      <c r="F269" s="616"/>
      <c r="G269" s="174"/>
      <c r="H269" s="472"/>
      <c r="I269" s="472"/>
      <c r="J269" s="472"/>
      <c r="K269" s="472"/>
      <c r="L269" s="472"/>
      <c r="M269" s="472"/>
      <c r="N269" s="472"/>
      <c r="O269" s="472"/>
      <c r="P269" s="472"/>
      <c r="Q269" s="796"/>
      <c r="R269" s="796"/>
      <c r="S269" s="799"/>
      <c r="T269" s="457"/>
      <c r="U269" s="457"/>
      <c r="V269" s="435"/>
      <c r="W269" s="432"/>
    </row>
    <row r="270" spans="2:23">
      <c r="B270" s="433"/>
      <c r="D270" s="472" t="s">
        <v>1500</v>
      </c>
      <c r="E270" s="472"/>
      <c r="F270" s="616"/>
      <c r="G270" s="174"/>
      <c r="H270" s="472"/>
      <c r="I270" s="472"/>
      <c r="J270" s="472"/>
      <c r="K270" s="472"/>
      <c r="L270" s="472"/>
      <c r="M270" s="472"/>
      <c r="N270" s="472"/>
      <c r="O270" s="472"/>
      <c r="P270" s="472"/>
      <c r="Q270" s="796"/>
      <c r="R270" s="796"/>
      <c r="S270" s="799"/>
      <c r="T270" s="457"/>
      <c r="U270" s="457"/>
      <c r="V270" s="435"/>
      <c r="W270" s="432"/>
    </row>
    <row r="271" spans="2:23">
      <c r="B271" s="433"/>
      <c r="D271" s="1279" t="s">
        <v>1525</v>
      </c>
      <c r="E271" s="1279"/>
      <c r="F271" s="820">
        <v>12</v>
      </c>
      <c r="G271" s="616" t="s">
        <v>0</v>
      </c>
      <c r="H271" s="472"/>
      <c r="I271" s="472"/>
      <c r="J271" s="472"/>
      <c r="K271" s="472"/>
      <c r="L271" s="472"/>
      <c r="M271" s="472"/>
      <c r="N271" s="472"/>
      <c r="O271" s="472"/>
      <c r="P271" s="472"/>
      <c r="Q271" s="796"/>
      <c r="R271" s="796"/>
      <c r="S271" s="799"/>
      <c r="T271" s="457"/>
      <c r="U271" s="457"/>
      <c r="V271" s="435"/>
      <c r="W271" s="432"/>
    </row>
    <row r="272" spans="2:23">
      <c r="B272" s="433"/>
      <c r="D272" s="1279" t="s">
        <v>1526</v>
      </c>
      <c r="E272" s="1279"/>
      <c r="F272" s="820">
        <v>1</v>
      </c>
      <c r="G272" s="472" t="s">
        <v>0</v>
      </c>
      <c r="H272" s="472"/>
      <c r="I272" s="472"/>
      <c r="J272" s="472"/>
      <c r="K272" s="472"/>
      <c r="L272" s="472"/>
      <c r="M272" s="472"/>
      <c r="N272" s="472"/>
      <c r="O272" s="472"/>
      <c r="P272" s="472"/>
      <c r="Q272" s="796"/>
      <c r="R272" s="796"/>
      <c r="S272" s="799"/>
      <c r="T272" s="457"/>
      <c r="U272" s="457"/>
      <c r="V272" s="435"/>
      <c r="W272" s="432"/>
    </row>
    <row r="273" spans="2:23">
      <c r="B273" s="433"/>
      <c r="D273" s="1278" t="s">
        <v>1520</v>
      </c>
      <c r="E273" s="1278"/>
      <c r="F273" s="820">
        <v>0.8</v>
      </c>
      <c r="G273" s="616" t="s">
        <v>0</v>
      </c>
      <c r="H273" s="472"/>
      <c r="I273" s="472"/>
      <c r="J273" s="472"/>
      <c r="K273" s="472"/>
      <c r="L273" s="472"/>
      <c r="M273" s="472"/>
      <c r="N273" s="472"/>
      <c r="O273" s="472"/>
      <c r="P273" s="472"/>
      <c r="Q273" s="796"/>
      <c r="R273" s="796"/>
      <c r="S273" s="799"/>
      <c r="T273" s="457"/>
      <c r="U273" s="457"/>
      <c r="V273" s="435"/>
      <c r="W273" s="432"/>
    </row>
    <row r="274" spans="2:23">
      <c r="B274" s="433"/>
      <c r="C274" s="616"/>
      <c r="D274" s="800"/>
      <c r="E274" s="616"/>
      <c r="F274" s="616"/>
      <c r="G274" s="174"/>
      <c r="H274" s="472"/>
      <c r="I274" s="472"/>
      <c r="J274" s="472"/>
      <c r="K274" s="472"/>
      <c r="L274" s="472"/>
      <c r="M274" s="472"/>
      <c r="N274" s="472"/>
      <c r="O274" s="472"/>
      <c r="P274" s="472"/>
      <c r="Q274" s="796"/>
      <c r="R274" s="796"/>
      <c r="S274" s="799"/>
      <c r="T274" s="457"/>
      <c r="U274" s="457"/>
      <c r="V274" s="435"/>
      <c r="W274" s="432"/>
    </row>
    <row r="275" spans="2:23" ht="12.75" customHeight="1">
      <c r="B275" s="433"/>
      <c r="C275" s="205" t="s">
        <v>1646</v>
      </c>
      <c r="D275" s="1273" t="s">
        <v>1528</v>
      </c>
      <c r="E275" s="1273"/>
      <c r="F275" s="1273"/>
      <c r="G275" s="1273"/>
      <c r="H275" s="1273"/>
      <c r="I275" s="1273"/>
      <c r="J275" s="1273"/>
      <c r="K275" s="1273"/>
      <c r="L275" s="1273"/>
      <c r="M275" s="1273"/>
      <c r="N275" s="1273"/>
      <c r="O275" s="1273"/>
      <c r="P275" s="1273"/>
      <c r="R275" s="317"/>
      <c r="S275" s="799"/>
      <c r="T275" s="457"/>
      <c r="U275" s="457"/>
      <c r="V275" s="435"/>
      <c r="W275" s="432"/>
    </row>
    <row r="276" spans="2:23">
      <c r="B276" s="433"/>
      <c r="C276" s="616"/>
      <c r="D276" s="800"/>
      <c r="E276" s="472" t="s">
        <v>1679</v>
      </c>
      <c r="F276" s="616"/>
      <c r="G276" s="174"/>
      <c r="H276" s="472"/>
      <c r="I276" s="472"/>
      <c r="J276" s="472"/>
      <c r="K276" s="472"/>
      <c r="L276" s="472"/>
      <c r="M276" s="472"/>
      <c r="N276" s="472"/>
      <c r="O276" s="472"/>
      <c r="P276" s="472"/>
      <c r="Q276" s="812">
        <f>(F279*F280*F281)+F282</f>
        <v>1.3200000000000003</v>
      </c>
      <c r="R276" s="796" t="s">
        <v>18</v>
      </c>
      <c r="S276" s="799"/>
      <c r="T276" s="457"/>
      <c r="U276" s="457"/>
      <c r="V276" s="435"/>
      <c r="W276" s="432"/>
    </row>
    <row r="277" spans="2:23">
      <c r="B277" s="433"/>
      <c r="C277" s="616"/>
      <c r="D277" s="800"/>
      <c r="E277" s="616"/>
      <c r="F277" s="616"/>
      <c r="G277" s="174"/>
      <c r="H277" s="472"/>
      <c r="I277" s="472"/>
      <c r="J277" s="472"/>
      <c r="K277" s="472"/>
      <c r="L277" s="472"/>
      <c r="M277" s="472"/>
      <c r="N277" s="472"/>
      <c r="O277" s="472"/>
      <c r="P277" s="472"/>
      <c r="Q277" s="796"/>
      <c r="R277" s="796"/>
      <c r="S277" s="799"/>
      <c r="T277" s="457"/>
      <c r="U277" s="457"/>
      <c r="V277" s="435"/>
      <c r="W277" s="432"/>
    </row>
    <row r="278" spans="2:23">
      <c r="B278" s="433"/>
      <c r="D278" s="616" t="s">
        <v>1500</v>
      </c>
      <c r="E278" s="616"/>
      <c r="F278" s="616"/>
      <c r="G278" s="174"/>
      <c r="H278" s="472"/>
      <c r="I278" s="472"/>
      <c r="J278" s="472"/>
      <c r="K278" s="472"/>
      <c r="L278" s="472"/>
      <c r="M278" s="472"/>
      <c r="N278" s="472"/>
      <c r="O278" s="472"/>
      <c r="P278" s="472"/>
      <c r="Q278" s="796"/>
      <c r="R278" s="796"/>
      <c r="S278" s="799"/>
      <c r="T278" s="457"/>
      <c r="U278" s="457"/>
      <c r="V278" s="435"/>
      <c r="W278" s="432"/>
    </row>
    <row r="279" spans="2:23">
      <c r="B279" s="433"/>
      <c r="D279" s="1272" t="s">
        <v>1525</v>
      </c>
      <c r="E279" s="1272"/>
      <c r="F279" s="820">
        <v>12</v>
      </c>
      <c r="G279" s="616" t="s">
        <v>0</v>
      </c>
      <c r="H279" s="472"/>
      <c r="I279" s="472"/>
      <c r="J279" s="472"/>
      <c r="K279" s="472"/>
      <c r="L279" s="472"/>
      <c r="M279" s="472"/>
      <c r="N279" s="472"/>
      <c r="O279" s="472"/>
      <c r="P279" s="472"/>
      <c r="Q279" s="796"/>
      <c r="R279" s="796"/>
      <c r="S279" s="799"/>
      <c r="T279" s="457"/>
      <c r="U279" s="457"/>
      <c r="V279" s="435"/>
      <c r="W279" s="432"/>
    </row>
    <row r="280" spans="2:23">
      <c r="B280" s="433"/>
      <c r="D280" s="1272" t="s">
        <v>1167</v>
      </c>
      <c r="E280" s="1272"/>
      <c r="F280" s="820">
        <v>0.05</v>
      </c>
      <c r="G280" s="472" t="s">
        <v>0</v>
      </c>
      <c r="H280" s="472"/>
      <c r="I280" s="472"/>
      <c r="J280" s="472"/>
      <c r="K280" s="472"/>
      <c r="L280" s="472"/>
      <c r="M280" s="472"/>
      <c r="N280" s="472"/>
      <c r="O280" s="472"/>
      <c r="P280" s="472"/>
      <c r="Q280" s="796"/>
      <c r="R280" s="796"/>
      <c r="S280" s="799"/>
      <c r="T280" s="457"/>
      <c r="U280" s="457"/>
      <c r="V280" s="435"/>
      <c r="W280" s="432"/>
    </row>
    <row r="281" spans="2:23">
      <c r="B281" s="433"/>
      <c r="D281" s="1274" t="s">
        <v>1520</v>
      </c>
      <c r="E281" s="1274"/>
      <c r="F281" s="820">
        <v>0.8</v>
      </c>
      <c r="G281" s="616" t="s">
        <v>0</v>
      </c>
      <c r="H281" s="472"/>
      <c r="I281" s="472"/>
      <c r="J281" s="472"/>
      <c r="K281" s="472"/>
      <c r="L281" s="472"/>
      <c r="M281" s="472"/>
      <c r="N281" s="472"/>
      <c r="O281" s="472"/>
      <c r="P281" s="472"/>
      <c r="Q281" s="796"/>
      <c r="R281" s="796"/>
      <c r="S281" s="799"/>
      <c r="T281" s="457"/>
      <c r="U281" s="457"/>
      <c r="V281" s="435"/>
      <c r="W281" s="432"/>
    </row>
    <row r="282" spans="2:23">
      <c r="B282" s="433"/>
      <c r="D282" s="616" t="s">
        <v>1680</v>
      </c>
      <c r="E282" s="616"/>
      <c r="F282" s="820">
        <f>Q247*0.07</f>
        <v>0.84000000000000008</v>
      </c>
      <c r="G282" s="616" t="s">
        <v>18</v>
      </c>
      <c r="H282" s="472"/>
      <c r="I282" s="472"/>
      <c r="J282" s="472"/>
      <c r="K282" s="472"/>
      <c r="L282" s="472"/>
      <c r="M282" s="472"/>
      <c r="N282" s="472"/>
      <c r="O282" s="472"/>
      <c r="P282" s="472"/>
      <c r="Q282" s="796"/>
      <c r="R282" s="796"/>
      <c r="S282" s="799"/>
      <c r="T282" s="457"/>
      <c r="U282" s="457"/>
      <c r="V282" s="435"/>
      <c r="W282" s="432"/>
    </row>
    <row r="283" spans="2:23">
      <c r="B283" s="433"/>
      <c r="C283" s="616"/>
      <c r="D283" s="800"/>
      <c r="E283" s="616"/>
      <c r="F283" s="616"/>
      <c r="G283" s="174"/>
      <c r="H283" s="472"/>
      <c r="I283" s="472"/>
      <c r="J283" s="472"/>
      <c r="K283" s="472"/>
      <c r="L283" s="472"/>
      <c r="M283" s="472"/>
      <c r="N283" s="472"/>
      <c r="O283" s="472"/>
      <c r="P283" s="472"/>
      <c r="Q283" s="796"/>
      <c r="R283" s="796"/>
      <c r="S283" s="799"/>
      <c r="T283" s="457"/>
      <c r="U283" s="457"/>
      <c r="V283" s="435"/>
      <c r="W283" s="432"/>
    </row>
    <row r="284" spans="2:23" ht="12.75" customHeight="1">
      <c r="B284" s="433"/>
      <c r="C284" s="205" t="s">
        <v>1647</v>
      </c>
      <c r="D284" s="1273" t="s">
        <v>1529</v>
      </c>
      <c r="E284" s="1273"/>
      <c r="F284" s="1273"/>
      <c r="G284" s="1273"/>
      <c r="H284" s="1273"/>
      <c r="I284" s="1273"/>
      <c r="J284" s="1273"/>
      <c r="K284" s="1273"/>
      <c r="L284" s="1273"/>
      <c r="M284" s="1273"/>
      <c r="N284" s="1273"/>
      <c r="O284" s="1273"/>
      <c r="P284" s="1273"/>
      <c r="S284" s="799"/>
      <c r="T284" s="457"/>
      <c r="U284" s="457"/>
      <c r="V284" s="435"/>
      <c r="W284" s="432"/>
    </row>
    <row r="285" spans="2:23">
      <c r="B285" s="433"/>
      <c r="C285" s="616"/>
      <c r="D285" s="800"/>
      <c r="E285" s="472" t="s">
        <v>1673</v>
      </c>
      <c r="F285" s="616"/>
      <c r="G285" s="174"/>
      <c r="H285" s="472"/>
      <c r="I285" s="472"/>
      <c r="J285" s="472"/>
      <c r="K285" s="472"/>
      <c r="L285" s="472"/>
      <c r="M285" s="472"/>
      <c r="N285" s="472"/>
      <c r="O285" s="472"/>
      <c r="P285" s="472"/>
      <c r="Q285" s="812">
        <f>F288*F289</f>
        <v>12</v>
      </c>
      <c r="R285" s="796" t="s">
        <v>17</v>
      </c>
      <c r="S285" s="799"/>
      <c r="T285" s="457"/>
      <c r="U285" s="457"/>
      <c r="V285" s="435"/>
      <c r="W285" s="432"/>
    </row>
    <row r="286" spans="2:23">
      <c r="B286" s="433"/>
      <c r="C286" s="616"/>
      <c r="D286" s="800"/>
      <c r="E286" s="616"/>
      <c r="F286" s="616"/>
      <c r="G286" s="174"/>
      <c r="H286" s="472"/>
      <c r="I286" s="472"/>
      <c r="J286" s="472"/>
      <c r="K286" s="472"/>
      <c r="L286" s="472"/>
      <c r="M286" s="472"/>
      <c r="N286" s="472"/>
      <c r="O286" s="472"/>
      <c r="P286" s="472"/>
      <c r="Q286" s="796"/>
      <c r="R286" s="796"/>
      <c r="S286" s="799"/>
      <c r="T286" s="457"/>
      <c r="U286" s="457"/>
      <c r="V286" s="435"/>
      <c r="W286" s="432"/>
    </row>
    <row r="287" spans="2:23">
      <c r="B287" s="433"/>
      <c r="C287" s="534"/>
      <c r="D287" s="616" t="s">
        <v>1500</v>
      </c>
      <c r="E287" s="616"/>
      <c r="F287" s="616"/>
      <c r="G287" s="174"/>
      <c r="H287" s="472"/>
      <c r="I287" s="472"/>
      <c r="J287" s="472"/>
      <c r="K287" s="472"/>
      <c r="L287" s="472"/>
      <c r="M287" s="472"/>
      <c r="N287" s="472"/>
      <c r="O287" s="472"/>
      <c r="P287" s="472"/>
      <c r="Q287" s="796"/>
      <c r="R287" s="796"/>
      <c r="S287" s="799"/>
      <c r="T287" s="457"/>
      <c r="U287" s="457"/>
      <c r="V287" s="435"/>
      <c r="W287" s="432"/>
    </row>
    <row r="288" spans="2:23">
      <c r="B288" s="433"/>
      <c r="C288" s="750"/>
      <c r="D288" s="1272" t="s">
        <v>822</v>
      </c>
      <c r="E288" s="1272"/>
      <c r="F288" s="820">
        <v>3</v>
      </c>
      <c r="G288" s="616" t="s">
        <v>0</v>
      </c>
      <c r="H288" s="472"/>
      <c r="I288" s="472"/>
      <c r="J288" s="472"/>
      <c r="K288" s="472"/>
      <c r="L288" s="472"/>
      <c r="M288" s="472"/>
      <c r="N288" s="472"/>
      <c r="O288" s="472"/>
      <c r="P288" s="472"/>
      <c r="Q288" s="796"/>
      <c r="R288" s="796"/>
      <c r="S288" s="799"/>
      <c r="T288" s="457"/>
      <c r="U288" s="457"/>
      <c r="V288" s="435"/>
      <c r="W288" s="432"/>
    </row>
    <row r="289" spans="2:23">
      <c r="B289" s="433"/>
      <c r="C289" s="616"/>
      <c r="D289" s="1274" t="s">
        <v>858</v>
      </c>
      <c r="E289" s="1274"/>
      <c r="F289" s="820">
        <v>4</v>
      </c>
      <c r="G289" s="616" t="s">
        <v>0</v>
      </c>
      <c r="H289" s="472"/>
      <c r="I289" s="472"/>
      <c r="J289" s="472"/>
      <c r="K289" s="472"/>
      <c r="L289" s="472"/>
      <c r="M289" s="472"/>
      <c r="N289" s="472"/>
      <c r="O289" s="472"/>
      <c r="P289" s="472"/>
      <c r="Q289" s="796"/>
      <c r="R289" s="796"/>
      <c r="S289" s="799"/>
      <c r="T289" s="457"/>
      <c r="U289" s="457"/>
      <c r="V289" s="435"/>
      <c r="W289" s="432"/>
    </row>
    <row r="290" spans="2:23">
      <c r="B290" s="433"/>
      <c r="C290" s="750"/>
      <c r="D290" s="800"/>
      <c r="E290" s="616"/>
      <c r="F290" s="616"/>
      <c r="G290" s="174"/>
      <c r="H290" s="472"/>
      <c r="I290" s="472"/>
      <c r="J290" s="472"/>
      <c r="K290" s="472"/>
      <c r="L290" s="472"/>
      <c r="M290" s="472"/>
      <c r="N290" s="472"/>
      <c r="O290" s="472"/>
      <c r="P290" s="472"/>
      <c r="Q290" s="796"/>
      <c r="R290" s="796"/>
      <c r="S290" s="799"/>
      <c r="T290" s="457"/>
      <c r="U290" s="457"/>
      <c r="V290" s="435"/>
      <c r="W290" s="432"/>
    </row>
    <row r="291" spans="2:23">
      <c r="B291" s="433"/>
      <c r="C291" s="205" t="s">
        <v>361</v>
      </c>
      <c r="D291" s="177" t="str">
        <f>PLANILHA!B64</f>
        <v>Mão de obra para a instalação da Lista nº 02</v>
      </c>
      <c r="E291" s="616"/>
      <c r="F291" s="616"/>
      <c r="G291" s="174"/>
      <c r="H291" s="472"/>
      <c r="I291" s="472"/>
      <c r="J291" s="472"/>
      <c r="K291" s="472"/>
      <c r="L291" s="472"/>
      <c r="M291" s="472"/>
      <c r="N291" s="472"/>
      <c r="O291" s="472"/>
      <c r="P291" s="472"/>
      <c r="Q291" s="796"/>
      <c r="R291" s="796"/>
      <c r="S291" s="799"/>
      <c r="T291" s="457"/>
      <c r="U291" s="457"/>
      <c r="V291" s="435"/>
      <c r="W291" s="432"/>
    </row>
    <row r="292" spans="2:23">
      <c r="B292" s="433"/>
      <c r="C292" s="205"/>
      <c r="D292" s="177"/>
      <c r="E292" s="616"/>
      <c r="F292" s="616"/>
      <c r="G292" s="174"/>
      <c r="H292" s="472"/>
      <c r="I292" s="472"/>
      <c r="J292" s="472"/>
      <c r="K292" s="472"/>
      <c r="L292" s="472"/>
      <c r="M292" s="472"/>
      <c r="N292" s="472"/>
      <c r="O292" s="472"/>
      <c r="P292" s="472"/>
      <c r="Q292" s="796"/>
      <c r="R292" s="796"/>
      <c r="S292" s="799"/>
      <c r="T292" s="457"/>
      <c r="U292" s="457"/>
      <c r="V292" s="435"/>
      <c r="W292" s="432"/>
    </row>
    <row r="293" spans="2:23">
      <c r="D293" s="1275" t="s">
        <v>102</v>
      </c>
      <c r="E293" s="1275"/>
      <c r="F293" s="1275"/>
      <c r="G293" s="1275"/>
      <c r="H293" s="1275"/>
      <c r="I293" s="1275"/>
      <c r="J293" s="1275"/>
      <c r="M293" s="137"/>
      <c r="N293" s="135" t="s">
        <v>1493</v>
      </c>
      <c r="O293" s="524"/>
      <c r="P293" s="472"/>
      <c r="Q293" s="472"/>
      <c r="R293" s="796"/>
      <c r="S293" s="799"/>
      <c r="T293" s="457"/>
      <c r="U293" s="457"/>
      <c r="V293" s="435"/>
      <c r="W293" s="432"/>
    </row>
    <row r="294" spans="2:23">
      <c r="D294" s="1276" t="s">
        <v>103</v>
      </c>
      <c r="E294" s="1276"/>
      <c r="F294" s="1276"/>
      <c r="G294" s="1276"/>
      <c r="H294" s="1276"/>
      <c r="I294" s="1276"/>
      <c r="J294" s="1276"/>
      <c r="M294" s="802"/>
      <c r="N294" s="823">
        <v>5</v>
      </c>
      <c r="O294" s="754" t="s">
        <v>107</v>
      </c>
      <c r="P294" s="472"/>
      <c r="Q294" s="472"/>
      <c r="R294" s="796"/>
      <c r="S294" s="799"/>
      <c r="T294" s="457"/>
      <c r="U294" s="457"/>
      <c r="V294" s="435"/>
      <c r="W294" s="432"/>
    </row>
    <row r="295" spans="2:23" ht="10.5" customHeight="1">
      <c r="C295" s="135"/>
      <c r="D295" s="839"/>
      <c r="E295" s="824"/>
      <c r="F295" s="824"/>
      <c r="G295" s="824"/>
      <c r="H295" s="824"/>
      <c r="I295" s="824"/>
      <c r="J295" s="135"/>
      <c r="K295" s="135"/>
      <c r="L295" s="752"/>
      <c r="M295" s="759"/>
      <c r="N295" s="1147"/>
      <c r="O295" s="1147"/>
      <c r="P295" s="1017"/>
      <c r="Q295" s="1017"/>
      <c r="R295" s="796"/>
      <c r="S295" s="799"/>
      <c r="T295" s="457"/>
      <c r="U295" s="457"/>
      <c r="V295" s="435"/>
      <c r="W295" s="432"/>
    </row>
    <row r="296" spans="2:23" ht="12.75" customHeight="1">
      <c r="D296" s="825">
        <v>4</v>
      </c>
      <c r="E296" s="827" t="s">
        <v>108</v>
      </c>
      <c r="F296" s="1264" t="s">
        <v>1678</v>
      </c>
      <c r="G296" s="1265"/>
      <c r="H296" s="1266"/>
      <c r="I296" s="753">
        <f>D296*N294</f>
        <v>20</v>
      </c>
      <c r="J296" s="827" t="s">
        <v>108</v>
      </c>
      <c r="K296" s="405"/>
      <c r="L296" s="405"/>
      <c r="M296" s="405"/>
      <c r="N296" s="135"/>
      <c r="O296" s="135"/>
      <c r="P296" s="135"/>
      <c r="Q296" s="135"/>
      <c r="R296" s="796"/>
      <c r="S296" s="799"/>
      <c r="T296" s="457"/>
      <c r="U296" s="457"/>
      <c r="V296" s="435"/>
      <c r="W296" s="432"/>
    </row>
    <row r="297" spans="2:23" ht="12.75" customHeight="1">
      <c r="D297" s="753">
        <v>8</v>
      </c>
      <c r="E297" s="827" t="s">
        <v>108</v>
      </c>
      <c r="F297" s="1264" t="s">
        <v>1533</v>
      </c>
      <c r="G297" s="1265"/>
      <c r="H297" s="1266"/>
      <c r="I297" s="753">
        <f>D297*N294</f>
        <v>40</v>
      </c>
      <c r="J297" s="827" t="s">
        <v>108</v>
      </c>
      <c r="K297" s="405"/>
      <c r="L297" s="405"/>
      <c r="M297" s="405"/>
      <c r="N297" s="524"/>
      <c r="O297" s="135"/>
      <c r="P297" s="524"/>
      <c r="Q297" s="524"/>
      <c r="R297" s="796"/>
      <c r="S297" s="799"/>
      <c r="T297" s="457"/>
      <c r="U297" s="457"/>
      <c r="V297" s="435"/>
      <c r="W297" s="432"/>
    </row>
    <row r="298" spans="2:23" ht="12.75" customHeight="1">
      <c r="D298" s="753">
        <v>8</v>
      </c>
      <c r="E298" s="827" t="s">
        <v>108</v>
      </c>
      <c r="F298" s="1264" t="s">
        <v>1677</v>
      </c>
      <c r="G298" s="1265"/>
      <c r="H298" s="1266"/>
      <c r="I298" s="753">
        <f>D298*N294</f>
        <v>40</v>
      </c>
      <c r="J298" s="827" t="s">
        <v>108</v>
      </c>
      <c r="K298" s="405"/>
      <c r="L298" s="405"/>
      <c r="M298" s="405"/>
      <c r="N298" s="406"/>
      <c r="O298" s="405"/>
      <c r="P298" s="1274"/>
      <c r="Q298" s="1274"/>
      <c r="R298" s="796"/>
      <c r="S298" s="799"/>
      <c r="T298" s="457"/>
      <c r="U298" s="457"/>
      <c r="V298" s="435"/>
      <c r="W298" s="432"/>
    </row>
    <row r="299" spans="2:23">
      <c r="B299" s="433"/>
      <c r="C299" s="205"/>
      <c r="D299" s="177"/>
      <c r="E299" s="616"/>
      <c r="F299" s="616"/>
      <c r="G299" s="174"/>
      <c r="H299" s="472"/>
      <c r="I299" s="472"/>
      <c r="J299" s="472"/>
      <c r="K299" s="472"/>
      <c r="L299" s="472"/>
      <c r="M299" s="472"/>
      <c r="N299" s="472"/>
      <c r="O299" s="472"/>
      <c r="P299" s="472"/>
      <c r="Q299" s="796"/>
      <c r="R299" s="796"/>
      <c r="S299" s="799"/>
      <c r="T299" s="457"/>
      <c r="U299" s="457"/>
      <c r="V299" s="435"/>
      <c r="W299" s="432"/>
    </row>
    <row r="300" spans="2:23">
      <c r="E300" s="177" t="s">
        <v>115</v>
      </c>
      <c r="F300" s="177"/>
      <c r="G300" s="177"/>
      <c r="H300" s="478"/>
      <c r="I300" s="472"/>
      <c r="J300" s="472"/>
      <c r="K300" s="472"/>
      <c r="L300" s="472"/>
      <c r="M300" s="472"/>
      <c r="N300" s="472"/>
      <c r="O300" s="472"/>
      <c r="P300" s="479"/>
      <c r="Q300" s="534"/>
      <c r="R300" s="806"/>
      <c r="S300" s="799"/>
      <c r="T300" s="457"/>
      <c r="U300" s="457"/>
      <c r="V300" s="435"/>
      <c r="W300" s="432"/>
    </row>
    <row r="301" spans="2:23">
      <c r="B301" s="433"/>
      <c r="C301" s="809"/>
      <c r="D301" s="236" t="str">
        <f>PLANILHA!A65</f>
        <v>3.5.1</v>
      </c>
      <c r="E301" s="810" t="s">
        <v>1228</v>
      </c>
      <c r="F301" s="755"/>
      <c r="G301" s="760"/>
      <c r="H301" s="811"/>
      <c r="I301" s="472"/>
      <c r="J301" s="472"/>
      <c r="K301" s="472"/>
      <c r="L301" s="472"/>
      <c r="M301" s="472"/>
      <c r="N301" s="472"/>
      <c r="O301" s="472"/>
      <c r="P301" s="479"/>
      <c r="Q301" s="812">
        <f>I296</f>
        <v>20</v>
      </c>
      <c r="R301" s="806" t="s">
        <v>108</v>
      </c>
      <c r="S301" s="799"/>
      <c r="T301" s="457"/>
      <c r="U301" s="457"/>
      <c r="V301" s="435"/>
      <c r="W301" s="432"/>
    </row>
    <row r="302" spans="2:23">
      <c r="B302" s="433"/>
      <c r="C302" s="806"/>
      <c r="D302" s="236" t="str">
        <f>PLANILHA!A66</f>
        <v>3.5.2</v>
      </c>
      <c r="E302" s="807" t="s">
        <v>1531</v>
      </c>
      <c r="F302" s="489"/>
      <c r="G302" s="487"/>
      <c r="H302" s="811"/>
      <c r="I302" s="472"/>
      <c r="J302" s="472"/>
      <c r="K302" s="472"/>
      <c r="L302" s="472"/>
      <c r="M302" s="472"/>
      <c r="N302" s="799"/>
      <c r="O302" s="808"/>
      <c r="P302" s="804"/>
      <c r="Q302" s="830">
        <f>I297</f>
        <v>40</v>
      </c>
      <c r="R302" s="806" t="s">
        <v>108</v>
      </c>
      <c r="S302" s="799"/>
      <c r="T302" s="457"/>
      <c r="U302" s="457"/>
      <c r="V302" s="435"/>
      <c r="W302" s="432"/>
    </row>
    <row r="303" spans="2:23">
      <c r="B303" s="433"/>
      <c r="C303" s="806"/>
      <c r="D303" s="236" t="str">
        <f>PLANILHA!A67</f>
        <v>3.5.3</v>
      </c>
      <c r="E303" s="807" t="s">
        <v>1532</v>
      </c>
      <c r="F303" s="489"/>
      <c r="G303" s="487"/>
      <c r="H303" s="804"/>
      <c r="I303" s="808"/>
      <c r="J303" s="808"/>
      <c r="K303" s="808"/>
      <c r="L303" s="808"/>
      <c r="M303" s="808"/>
      <c r="N303" s="804"/>
      <c r="O303" s="804"/>
      <c r="P303" s="811"/>
      <c r="Q303" s="812">
        <f>I298</f>
        <v>40</v>
      </c>
      <c r="R303" s="813" t="s">
        <v>108</v>
      </c>
      <c r="S303" s="799"/>
      <c r="T303" s="457"/>
      <c r="U303" s="457"/>
      <c r="V303" s="435"/>
      <c r="W303" s="432"/>
    </row>
    <row r="304" spans="2:23">
      <c r="B304" s="433"/>
      <c r="C304" s="534"/>
      <c r="D304" s="236"/>
      <c r="E304" s="616"/>
      <c r="F304" s="616"/>
      <c r="G304" s="174"/>
      <c r="H304" s="472"/>
      <c r="I304" s="472"/>
      <c r="J304" s="472"/>
      <c r="K304" s="472"/>
      <c r="L304" s="472"/>
      <c r="M304" s="472"/>
      <c r="N304" s="472"/>
      <c r="O304" s="472"/>
      <c r="P304" s="472"/>
      <c r="Q304" s="796"/>
      <c r="R304" s="534"/>
      <c r="S304" s="799"/>
      <c r="T304" s="457"/>
      <c r="U304" s="457"/>
      <c r="V304" s="435"/>
      <c r="W304" s="432"/>
    </row>
    <row r="305" spans="2:23">
      <c r="B305" s="433"/>
      <c r="C305" s="205" t="s">
        <v>1681</v>
      </c>
      <c r="D305" s="1273" t="str">
        <f>PLANILHA!B53</f>
        <v>Mão de obra para a instalação da Lista nº 01</v>
      </c>
      <c r="E305" s="1273"/>
      <c r="F305" s="1273"/>
      <c r="G305" s="1273"/>
      <c r="H305" s="1273"/>
      <c r="I305" s="1273"/>
      <c r="J305" s="1273"/>
      <c r="K305" s="1273"/>
      <c r="L305" s="1273"/>
      <c r="M305" s="1273"/>
      <c r="N305" s="1273"/>
      <c r="O305" s="1273"/>
      <c r="P305" s="1273"/>
      <c r="Q305" s="796"/>
      <c r="R305" s="534"/>
      <c r="S305" s="799"/>
      <c r="T305" s="457"/>
      <c r="U305" s="457"/>
      <c r="V305" s="435"/>
      <c r="W305" s="432"/>
    </row>
    <row r="306" spans="2:23">
      <c r="B306" s="433"/>
      <c r="C306" s="205"/>
      <c r="D306" s="472"/>
      <c r="E306" s="1270" t="s">
        <v>1683</v>
      </c>
      <c r="F306" s="1271"/>
      <c r="G306" s="1271"/>
      <c r="H306" s="1271"/>
      <c r="I306" s="1271"/>
      <c r="J306" s="1271"/>
      <c r="K306" s="1271"/>
      <c r="L306" s="1271"/>
      <c r="M306" s="1271"/>
      <c r="N306" s="1271"/>
      <c r="O306" s="1271"/>
      <c r="P306" s="1271"/>
      <c r="Q306" s="812">
        <f>10*F309</f>
        <v>10</v>
      </c>
      <c r="R306" s="813" t="s">
        <v>108</v>
      </c>
      <c r="S306" s="799"/>
      <c r="T306" s="457"/>
      <c r="U306" s="457"/>
      <c r="V306" s="435"/>
      <c r="W306" s="432"/>
    </row>
    <row r="307" spans="2:23">
      <c r="B307" s="433"/>
      <c r="C307" s="205"/>
      <c r="D307" s="616"/>
      <c r="E307" s="616"/>
      <c r="F307" s="616"/>
      <c r="G307" s="174"/>
      <c r="H307" s="472"/>
      <c r="I307" s="472"/>
      <c r="J307" s="472"/>
      <c r="K307" s="472"/>
      <c r="L307" s="472"/>
      <c r="M307" s="472"/>
      <c r="N307" s="472"/>
      <c r="O307" s="472"/>
      <c r="P307" s="472"/>
      <c r="Q307" s="796"/>
      <c r="R307" s="534"/>
      <c r="S307" s="799"/>
      <c r="T307" s="457"/>
      <c r="U307" s="457"/>
      <c r="V307" s="435"/>
      <c r="W307" s="432"/>
    </row>
    <row r="308" spans="2:23">
      <c r="B308" s="433"/>
      <c r="C308" s="205"/>
      <c r="D308" s="616" t="s">
        <v>1500</v>
      </c>
      <c r="E308" s="616"/>
      <c r="F308" s="616"/>
      <c r="G308" s="174"/>
      <c r="H308" s="472"/>
      <c r="I308" s="472"/>
      <c r="J308" s="472"/>
      <c r="K308" s="472"/>
      <c r="L308" s="472"/>
      <c r="M308" s="472"/>
      <c r="N308" s="472"/>
      <c r="O308" s="472"/>
      <c r="P308" s="472"/>
      <c r="Q308" s="796"/>
      <c r="R308" s="534"/>
      <c r="S308" s="799"/>
      <c r="T308" s="457"/>
      <c r="U308" s="457"/>
      <c r="V308" s="435"/>
      <c r="W308" s="432"/>
    </row>
    <row r="309" spans="2:23">
      <c r="B309" s="433"/>
      <c r="C309" s="205"/>
      <c r="D309" s="1272" t="s">
        <v>1507</v>
      </c>
      <c r="E309" s="1272"/>
      <c r="F309" s="820">
        <v>1</v>
      </c>
      <c r="G309" s="616" t="s">
        <v>107</v>
      </c>
      <c r="H309" s="472"/>
      <c r="I309" s="472"/>
      <c r="J309" s="472"/>
      <c r="K309" s="472"/>
      <c r="L309" s="472"/>
      <c r="M309" s="472"/>
      <c r="N309" s="472"/>
      <c r="O309" s="472"/>
      <c r="P309" s="472"/>
      <c r="Q309" s="796"/>
      <c r="R309" s="534"/>
      <c r="S309" s="799"/>
      <c r="T309" s="457"/>
      <c r="U309" s="457"/>
      <c r="V309" s="435"/>
      <c r="W309" s="432"/>
    </row>
    <row r="310" spans="2:23">
      <c r="B310" s="433"/>
      <c r="C310" s="534"/>
      <c r="D310" s="236"/>
      <c r="E310" s="616"/>
      <c r="F310" s="616"/>
      <c r="G310" s="174"/>
      <c r="H310" s="472"/>
      <c r="I310" s="472"/>
      <c r="J310" s="472"/>
      <c r="K310" s="472"/>
      <c r="L310" s="472"/>
      <c r="M310" s="472"/>
      <c r="N310" s="472"/>
      <c r="O310" s="472"/>
      <c r="P310" s="472"/>
      <c r="Q310" s="796"/>
      <c r="R310" s="534"/>
      <c r="S310" s="799"/>
      <c r="T310" s="457"/>
      <c r="U310" s="457"/>
      <c r="V310" s="435"/>
      <c r="W310" s="432"/>
    </row>
    <row r="311" spans="2:23">
      <c r="B311" s="433"/>
      <c r="C311" s="205" t="s">
        <v>362</v>
      </c>
      <c r="D311" s="177" t="str">
        <f>PLANILHA!B69</f>
        <v>Mão de obra para a instalação da Lista nº 03 extravasor e limpeza</v>
      </c>
      <c r="E311" s="616"/>
      <c r="F311" s="616"/>
      <c r="G311" s="174"/>
      <c r="H311" s="472"/>
      <c r="I311" s="472"/>
      <c r="J311" s="472"/>
      <c r="K311" s="472"/>
      <c r="L311" s="472"/>
      <c r="M311" s="472"/>
      <c r="N311" s="472"/>
      <c r="O311" s="472"/>
      <c r="P311" s="472"/>
      <c r="Q311" s="796"/>
      <c r="R311" s="796"/>
      <c r="S311" s="799"/>
      <c r="T311" s="457"/>
      <c r="U311" s="457"/>
      <c r="V311" s="435"/>
      <c r="W311" s="432"/>
    </row>
    <row r="312" spans="2:23">
      <c r="B312" s="433"/>
      <c r="C312" s="205"/>
      <c r="D312" s="177"/>
      <c r="E312" s="616"/>
      <c r="F312" s="616"/>
      <c r="G312" s="174"/>
      <c r="H312" s="472"/>
      <c r="I312" s="472"/>
      <c r="J312" s="472"/>
      <c r="K312" s="472"/>
      <c r="L312" s="472"/>
      <c r="M312" s="472"/>
      <c r="N312" s="472"/>
      <c r="O312" s="472"/>
      <c r="P312" s="472"/>
      <c r="Q312" s="796"/>
      <c r="R312" s="796"/>
      <c r="S312" s="799"/>
      <c r="T312" s="457"/>
      <c r="U312" s="457"/>
      <c r="V312" s="435"/>
      <c r="W312" s="432"/>
    </row>
    <row r="313" spans="2:23">
      <c r="D313" s="1275" t="s">
        <v>102</v>
      </c>
      <c r="E313" s="1275"/>
      <c r="F313" s="1275"/>
      <c r="G313" s="1275"/>
      <c r="H313" s="1275"/>
      <c r="I313" s="1275"/>
      <c r="J313" s="1275"/>
      <c r="M313" s="137"/>
      <c r="N313" s="135" t="s">
        <v>1493</v>
      </c>
      <c r="O313" s="524"/>
      <c r="P313" s="472"/>
      <c r="Q313" s="472"/>
      <c r="R313" s="796"/>
      <c r="S313" s="799"/>
      <c r="T313" s="457"/>
      <c r="U313" s="457"/>
      <c r="V313" s="435"/>
      <c r="W313" s="432"/>
    </row>
    <row r="314" spans="2:23">
      <c r="D314" s="1276" t="s">
        <v>103</v>
      </c>
      <c r="E314" s="1276"/>
      <c r="F314" s="1276"/>
      <c r="G314" s="1276"/>
      <c r="H314" s="1276"/>
      <c r="I314" s="1276"/>
      <c r="J314" s="1276"/>
      <c r="M314" s="802"/>
      <c r="N314" s="823">
        <v>5</v>
      </c>
      <c r="O314" s="754" t="s">
        <v>107</v>
      </c>
      <c r="P314" s="472"/>
      <c r="Q314" s="472"/>
      <c r="R314" s="796"/>
      <c r="S314" s="799"/>
      <c r="T314" s="457"/>
      <c r="U314" s="457"/>
      <c r="V314" s="435"/>
      <c r="W314" s="432"/>
    </row>
    <row r="315" spans="2:23">
      <c r="C315" s="135"/>
      <c r="D315" s="828"/>
      <c r="E315" s="824"/>
      <c r="F315" s="824"/>
      <c r="G315" s="824"/>
      <c r="H315" s="824"/>
      <c r="I315" s="824"/>
      <c r="J315" s="135"/>
      <c r="K315" s="135"/>
      <c r="L315" s="752"/>
      <c r="M315" s="759"/>
      <c r="N315" s="1147"/>
      <c r="O315" s="1147"/>
      <c r="P315" s="1017"/>
      <c r="Q315" s="1017"/>
      <c r="R315" s="796"/>
      <c r="S315" s="799"/>
      <c r="T315" s="457"/>
      <c r="U315" s="457"/>
      <c r="V315" s="435"/>
      <c r="W315" s="432"/>
    </row>
    <row r="316" spans="2:23" ht="12.75" customHeight="1">
      <c r="D316" s="753">
        <v>4</v>
      </c>
      <c r="E316" s="827" t="s">
        <v>108</v>
      </c>
      <c r="F316" s="1264" t="s">
        <v>1678</v>
      </c>
      <c r="G316" s="1265"/>
      <c r="H316" s="1266"/>
      <c r="I316" s="753">
        <f>D316*$N$314</f>
        <v>20</v>
      </c>
      <c r="J316" s="827" t="s">
        <v>108</v>
      </c>
      <c r="K316" s="405"/>
      <c r="L316" s="405"/>
      <c r="M316" s="405"/>
      <c r="N316" s="135"/>
      <c r="O316" s="135"/>
      <c r="P316" s="135"/>
      <c r="Q316" s="135"/>
      <c r="R316" s="796"/>
      <c r="S316" s="799"/>
      <c r="T316" s="457"/>
      <c r="U316" s="457"/>
      <c r="V316" s="435"/>
      <c r="W316" s="432"/>
    </row>
    <row r="317" spans="2:23" ht="12.75" customHeight="1">
      <c r="D317" s="753">
        <v>8</v>
      </c>
      <c r="E317" s="827" t="s">
        <v>108</v>
      </c>
      <c r="F317" s="1264" t="s">
        <v>1533</v>
      </c>
      <c r="G317" s="1265"/>
      <c r="H317" s="1266"/>
      <c r="I317" s="753">
        <f t="shared" ref="I317:I318" si="1">D317*$N$314</f>
        <v>40</v>
      </c>
      <c r="J317" s="827" t="s">
        <v>108</v>
      </c>
      <c r="K317" s="405"/>
      <c r="L317" s="405"/>
      <c r="M317" s="405"/>
      <c r="N317" s="524"/>
      <c r="O317" s="135"/>
      <c r="P317" s="524"/>
      <c r="Q317" s="524"/>
      <c r="R317" s="796"/>
      <c r="S317" s="799"/>
      <c r="T317" s="457"/>
      <c r="U317" s="457"/>
      <c r="V317" s="435"/>
      <c r="W317" s="432"/>
    </row>
    <row r="318" spans="2:23" ht="12.75" customHeight="1">
      <c r="D318" s="753">
        <v>8</v>
      </c>
      <c r="E318" s="827" t="s">
        <v>108</v>
      </c>
      <c r="F318" s="1264" t="s">
        <v>1677</v>
      </c>
      <c r="G318" s="1265"/>
      <c r="H318" s="1266"/>
      <c r="I318" s="753">
        <f t="shared" si="1"/>
        <v>40</v>
      </c>
      <c r="J318" s="827" t="s">
        <v>108</v>
      </c>
      <c r="K318" s="405"/>
      <c r="L318" s="405"/>
      <c r="M318" s="405"/>
      <c r="N318" s="406"/>
      <c r="O318" s="405"/>
      <c r="P318" s="1274"/>
      <c r="Q318" s="1274"/>
      <c r="R318" s="796"/>
      <c r="S318" s="799"/>
      <c r="T318" s="457"/>
      <c r="U318" s="457"/>
      <c r="V318" s="435"/>
      <c r="W318" s="432"/>
    </row>
    <row r="319" spans="2:23" ht="9.75" customHeight="1">
      <c r="B319" s="433"/>
      <c r="C319" s="205"/>
      <c r="D319" s="177"/>
      <c r="E319" s="616"/>
      <c r="F319" s="616"/>
      <c r="G319" s="174"/>
      <c r="H319" s="472"/>
      <c r="I319" s="472"/>
      <c r="J319" s="472"/>
      <c r="K319" s="472"/>
      <c r="L319" s="472"/>
      <c r="M319" s="472"/>
      <c r="N319" s="472"/>
      <c r="O319" s="472"/>
      <c r="P319" s="472"/>
      <c r="Q319" s="796"/>
      <c r="R319" s="796"/>
      <c r="S319" s="799"/>
      <c r="T319" s="457"/>
      <c r="U319" s="457"/>
      <c r="V319" s="435"/>
      <c r="W319" s="432"/>
    </row>
    <row r="320" spans="2:23">
      <c r="E320" s="177" t="s">
        <v>115</v>
      </c>
      <c r="F320" s="177"/>
      <c r="G320" s="177"/>
      <c r="H320" s="478"/>
      <c r="I320" s="472"/>
      <c r="J320" s="472"/>
      <c r="K320" s="472"/>
      <c r="L320" s="472"/>
      <c r="M320" s="472"/>
      <c r="N320" s="472"/>
      <c r="O320" s="472"/>
      <c r="P320" s="479"/>
      <c r="Q320" s="534"/>
      <c r="R320" s="806"/>
      <c r="S320" s="799"/>
      <c r="T320" s="457"/>
      <c r="U320" s="457"/>
      <c r="V320" s="435"/>
      <c r="W320" s="432"/>
    </row>
    <row r="321" spans="2:23">
      <c r="B321" s="433"/>
      <c r="C321" s="809"/>
      <c r="D321" s="236" t="str">
        <f>PLANILHA!A70</f>
        <v>3.6.1</v>
      </c>
      <c r="E321" s="810" t="s">
        <v>1228</v>
      </c>
      <c r="F321" s="755"/>
      <c r="G321" s="760"/>
      <c r="H321" s="811"/>
      <c r="I321" s="472"/>
      <c r="J321" s="472"/>
      <c r="K321" s="472"/>
      <c r="L321" s="472"/>
      <c r="M321" s="472"/>
      <c r="N321" s="472"/>
      <c r="O321" s="472"/>
      <c r="P321" s="479"/>
      <c r="Q321" s="812">
        <f>I316</f>
        <v>20</v>
      </c>
      <c r="R321" s="806" t="s">
        <v>108</v>
      </c>
      <c r="S321" s="799"/>
      <c r="T321" s="457"/>
      <c r="U321" s="457"/>
      <c r="V321" s="435"/>
      <c r="W321" s="432"/>
    </row>
    <row r="322" spans="2:23">
      <c r="B322" s="433"/>
      <c r="C322" s="806"/>
      <c r="D322" s="236" t="str">
        <f>PLANILHA!A71</f>
        <v>3.6.2</v>
      </c>
      <c r="E322" s="807" t="s">
        <v>1531</v>
      </c>
      <c r="F322" s="489"/>
      <c r="G322" s="487"/>
      <c r="H322" s="811"/>
      <c r="I322" s="472"/>
      <c r="J322" s="472"/>
      <c r="K322" s="472"/>
      <c r="L322" s="472"/>
      <c r="M322" s="472"/>
      <c r="N322" s="799"/>
      <c r="O322" s="808"/>
      <c r="P322" s="804"/>
      <c r="Q322" s="830">
        <f>I317</f>
        <v>40</v>
      </c>
      <c r="R322" s="806" t="s">
        <v>108</v>
      </c>
      <c r="S322" s="799"/>
      <c r="T322" s="457"/>
      <c r="U322" s="457"/>
      <c r="V322" s="435"/>
      <c r="W322" s="432"/>
    </row>
    <row r="323" spans="2:23">
      <c r="B323" s="433"/>
      <c r="C323" s="806"/>
      <c r="D323" s="236" t="str">
        <f>PLANILHA!A72</f>
        <v>3.6.3</v>
      </c>
      <c r="E323" s="807" t="s">
        <v>1532</v>
      </c>
      <c r="F323" s="489"/>
      <c r="G323" s="487"/>
      <c r="H323" s="804"/>
      <c r="I323" s="808"/>
      <c r="J323" s="808"/>
      <c r="K323" s="808"/>
      <c r="L323" s="808"/>
      <c r="M323" s="808"/>
      <c r="N323" s="804"/>
      <c r="O323" s="804"/>
      <c r="P323" s="811"/>
      <c r="Q323" s="812">
        <f>I318*2</f>
        <v>80</v>
      </c>
      <c r="R323" s="813" t="s">
        <v>108</v>
      </c>
      <c r="S323" s="799"/>
      <c r="T323" s="457"/>
      <c r="U323" s="457"/>
      <c r="V323" s="435"/>
      <c r="W323" s="432"/>
    </row>
    <row r="324" spans="2:23" ht="10.5" customHeight="1">
      <c r="B324" s="433"/>
      <c r="C324" s="534"/>
      <c r="D324" s="236"/>
      <c r="E324" s="616"/>
      <c r="F324" s="616"/>
      <c r="G324" s="174"/>
      <c r="H324" s="472"/>
      <c r="I324" s="472"/>
      <c r="J324" s="472"/>
      <c r="K324" s="472"/>
      <c r="L324" s="472"/>
      <c r="M324" s="472"/>
      <c r="N324" s="472"/>
      <c r="O324" s="472"/>
      <c r="P324" s="472"/>
      <c r="Q324" s="796"/>
      <c r="R324" s="534"/>
      <c r="S324" s="799"/>
      <c r="T324" s="457"/>
      <c r="U324" s="457"/>
      <c r="V324" s="435"/>
      <c r="W324" s="432"/>
    </row>
    <row r="325" spans="2:23">
      <c r="B325" s="433"/>
      <c r="C325" s="205" t="s">
        <v>1681</v>
      </c>
      <c r="D325" s="1273" t="str">
        <f>PLANILHA!B73</f>
        <v>Guindauto hidráulico, capacidade maxima de carga 6200 kg, momento máximo de carga 11,7 TM, alcance máximo horizontal 9,70 m, inclusive caminhão toco PBT 16.000 kg, potência de 189 cv</v>
      </c>
      <c r="E325" s="1273"/>
      <c r="F325" s="1273"/>
      <c r="G325" s="1273"/>
      <c r="H325" s="1273"/>
      <c r="I325" s="1273"/>
      <c r="J325" s="1273"/>
      <c r="K325" s="1273"/>
      <c r="L325" s="1273"/>
      <c r="M325" s="1273"/>
      <c r="N325" s="1273"/>
      <c r="O325" s="1273"/>
      <c r="P325" s="1273"/>
      <c r="Q325" s="796"/>
      <c r="R325" s="534"/>
      <c r="S325" s="799"/>
      <c r="T325" s="457"/>
      <c r="U325" s="457"/>
      <c r="V325" s="435"/>
      <c r="W325" s="432"/>
    </row>
    <row r="326" spans="2:23">
      <c r="B326" s="433"/>
      <c r="C326" s="205"/>
      <c r="D326" s="472"/>
      <c r="E326" s="1270" t="s">
        <v>1683</v>
      </c>
      <c r="F326" s="1271"/>
      <c r="G326" s="1271"/>
      <c r="H326" s="1271"/>
      <c r="I326" s="1271"/>
      <c r="J326" s="1271"/>
      <c r="K326" s="1271"/>
      <c r="L326" s="1271"/>
      <c r="M326" s="1271"/>
      <c r="N326" s="1271"/>
      <c r="O326" s="1271"/>
      <c r="P326" s="1271"/>
      <c r="Q326" s="812">
        <f>10*F329</f>
        <v>10</v>
      </c>
      <c r="R326" s="813" t="s">
        <v>108</v>
      </c>
      <c r="S326" s="799"/>
      <c r="T326" s="457"/>
      <c r="U326" s="457"/>
      <c r="V326" s="435"/>
      <c r="W326" s="432"/>
    </row>
    <row r="327" spans="2:23" ht="9.75" customHeight="1">
      <c r="B327" s="433"/>
      <c r="C327" s="205"/>
      <c r="D327" s="616"/>
      <c r="E327" s="616"/>
      <c r="F327" s="616"/>
      <c r="G327" s="174"/>
      <c r="H327" s="472"/>
      <c r="I327" s="472"/>
      <c r="J327" s="472"/>
      <c r="K327" s="472"/>
      <c r="L327" s="472"/>
      <c r="M327" s="472"/>
      <c r="N327" s="472"/>
      <c r="O327" s="472"/>
      <c r="P327" s="472"/>
      <c r="Q327" s="796"/>
      <c r="R327" s="534"/>
      <c r="S327" s="799"/>
      <c r="T327" s="457"/>
      <c r="U327" s="457"/>
      <c r="V327" s="435"/>
      <c r="W327" s="432"/>
    </row>
    <row r="328" spans="2:23">
      <c r="B328" s="433"/>
      <c r="C328" s="205"/>
      <c r="D328" s="616" t="s">
        <v>1500</v>
      </c>
      <c r="E328" s="616"/>
      <c r="F328" s="616"/>
      <c r="G328" s="174"/>
      <c r="H328" s="472"/>
      <c r="I328" s="472"/>
      <c r="J328" s="472"/>
      <c r="K328" s="472"/>
      <c r="L328" s="472"/>
      <c r="M328" s="472"/>
      <c r="N328" s="472"/>
      <c r="O328" s="472"/>
      <c r="P328" s="472"/>
      <c r="Q328" s="796"/>
      <c r="R328" s="534"/>
      <c r="S328" s="799"/>
      <c r="T328" s="457"/>
      <c r="U328" s="457"/>
      <c r="V328" s="435"/>
      <c r="W328" s="432"/>
    </row>
    <row r="329" spans="2:23">
      <c r="B329" s="433"/>
      <c r="C329" s="205"/>
      <c r="D329" s="1272" t="s">
        <v>1507</v>
      </c>
      <c r="E329" s="1272"/>
      <c r="F329" s="820">
        <v>1</v>
      </c>
      <c r="G329" s="616" t="s">
        <v>107</v>
      </c>
      <c r="H329" s="472"/>
      <c r="I329" s="472"/>
      <c r="J329" s="472"/>
      <c r="K329" s="472"/>
      <c r="L329" s="472"/>
      <c r="M329" s="472"/>
      <c r="N329" s="472"/>
      <c r="O329" s="472"/>
      <c r="P329" s="472"/>
      <c r="Q329" s="796"/>
      <c r="R329" s="534"/>
      <c r="S329" s="799"/>
      <c r="T329" s="457"/>
      <c r="U329" s="457"/>
      <c r="V329" s="435"/>
      <c r="W329" s="432"/>
    </row>
    <row r="330" spans="2:23">
      <c r="B330" s="433"/>
      <c r="C330" s="205"/>
      <c r="D330" s="801"/>
      <c r="E330" s="801"/>
      <c r="F330" s="801"/>
      <c r="G330" s="801"/>
      <c r="H330" s="801"/>
      <c r="I330" s="801"/>
      <c r="J330" s="801"/>
      <c r="K330" s="801"/>
      <c r="L330" s="801"/>
      <c r="M330" s="801"/>
      <c r="N330" s="801"/>
      <c r="O330" s="801"/>
      <c r="P330" s="801"/>
      <c r="Q330" s="796"/>
      <c r="R330" s="534"/>
      <c r="S330" s="799"/>
      <c r="T330" s="457"/>
      <c r="U330" s="457"/>
      <c r="V330" s="435"/>
      <c r="W330" s="432"/>
    </row>
    <row r="331" spans="2:23">
      <c r="B331" s="433"/>
      <c r="C331" s="205" t="s">
        <v>363</v>
      </c>
      <c r="D331" s="1273" t="str">
        <f>PLANILHA!B74</f>
        <v>Caixa de alvenaria do extravasor e limpeza</v>
      </c>
      <c r="E331" s="1273"/>
      <c r="F331" s="1273"/>
      <c r="G331" s="1273"/>
      <c r="H331" s="1273"/>
      <c r="I331" s="1273"/>
      <c r="J331" s="1273"/>
      <c r="K331" s="1273"/>
      <c r="L331" s="1273"/>
      <c r="M331" s="1273"/>
      <c r="N331" s="1273"/>
      <c r="O331" s="1273"/>
      <c r="P331" s="1273"/>
      <c r="Q331" s="796"/>
      <c r="R331" s="534"/>
      <c r="S331" s="799"/>
      <c r="T331" s="457"/>
      <c r="U331" s="457"/>
      <c r="V331" s="435"/>
      <c r="W331" s="432"/>
    </row>
    <row r="332" spans="2:23">
      <c r="B332" s="433"/>
      <c r="C332" s="205"/>
      <c r="D332" s="472"/>
      <c r="E332" s="1270" t="s">
        <v>1682</v>
      </c>
      <c r="F332" s="1271"/>
      <c r="G332" s="1271"/>
      <c r="H332" s="1271"/>
      <c r="I332" s="1271"/>
      <c r="J332" s="1271"/>
      <c r="K332" s="1271"/>
      <c r="L332" s="1271"/>
      <c r="M332" s="1271"/>
      <c r="N332" s="1271"/>
      <c r="O332" s="1271"/>
      <c r="P332" s="1271"/>
      <c r="Q332" s="812">
        <v>1</v>
      </c>
      <c r="R332" s="813" t="s">
        <v>987</v>
      </c>
      <c r="S332" s="799"/>
      <c r="T332" s="457"/>
      <c r="U332" s="457"/>
      <c r="V332" s="435"/>
      <c r="W332" s="432"/>
    </row>
    <row r="333" spans="2:23" ht="9" customHeight="1">
      <c r="B333" s="433"/>
      <c r="C333" s="205"/>
      <c r="D333" s="616"/>
      <c r="E333" s="616"/>
      <c r="F333" s="616"/>
      <c r="G333" s="174"/>
      <c r="H333" s="472"/>
      <c r="I333" s="472"/>
      <c r="J333" s="472"/>
      <c r="K333" s="472"/>
      <c r="L333" s="472"/>
      <c r="M333" s="472"/>
      <c r="N333" s="472"/>
      <c r="O333" s="472"/>
      <c r="P333" s="472"/>
      <c r="Q333" s="796"/>
      <c r="R333" s="534"/>
      <c r="S333" s="799"/>
      <c r="T333" s="457"/>
      <c r="U333" s="457"/>
      <c r="V333" s="435"/>
      <c r="W333" s="432"/>
    </row>
    <row r="334" spans="2:23">
      <c r="B334" s="433"/>
      <c r="C334" s="205"/>
      <c r="D334" s="616" t="s">
        <v>1500</v>
      </c>
      <c r="E334" s="616"/>
      <c r="F334" s="616"/>
      <c r="G334" s="174"/>
      <c r="H334" s="472"/>
      <c r="I334" s="472"/>
      <c r="J334" s="472"/>
      <c r="K334" s="472"/>
      <c r="L334" s="472"/>
      <c r="M334" s="472"/>
      <c r="N334" s="472"/>
      <c r="O334" s="472"/>
      <c r="P334" s="472"/>
      <c r="Q334" s="796"/>
      <c r="R334" s="534"/>
      <c r="S334" s="799"/>
      <c r="T334" s="457"/>
      <c r="U334" s="457"/>
      <c r="V334" s="435"/>
      <c r="W334" s="432"/>
    </row>
    <row r="335" spans="2:23" ht="12.75" customHeight="1">
      <c r="B335" s="433"/>
      <c r="C335" s="205"/>
      <c r="D335" s="1272" t="s">
        <v>822</v>
      </c>
      <c r="E335" s="1272"/>
      <c r="F335" s="820">
        <v>1</v>
      </c>
      <c r="G335" s="616" t="s">
        <v>0</v>
      </c>
      <c r="H335" s="472"/>
      <c r="I335" s="472"/>
      <c r="J335" s="472"/>
      <c r="K335" s="472"/>
      <c r="L335" s="472"/>
      <c r="M335" s="472"/>
      <c r="N335" s="472"/>
      <c r="O335" s="472"/>
      <c r="P335" s="472"/>
      <c r="Q335" s="796"/>
      <c r="R335" s="534"/>
      <c r="S335" s="799"/>
      <c r="T335" s="457"/>
      <c r="U335" s="457"/>
      <c r="V335" s="435"/>
      <c r="W335" s="432"/>
    </row>
    <row r="336" spans="2:23">
      <c r="B336" s="433"/>
      <c r="C336" s="205"/>
      <c r="D336" s="1274" t="s">
        <v>858</v>
      </c>
      <c r="E336" s="1274"/>
      <c r="F336" s="820">
        <v>1</v>
      </c>
      <c r="G336" s="616" t="s">
        <v>0</v>
      </c>
      <c r="H336" s="801"/>
      <c r="I336" s="801"/>
      <c r="J336" s="801"/>
      <c r="K336" s="801"/>
      <c r="L336" s="801"/>
      <c r="M336" s="801"/>
      <c r="N336" s="801"/>
      <c r="O336" s="801"/>
      <c r="P336" s="801"/>
      <c r="Q336" s="796"/>
      <c r="R336" s="534"/>
      <c r="S336" s="799"/>
      <c r="T336" s="457"/>
      <c r="U336" s="457"/>
      <c r="V336" s="435"/>
      <c r="W336" s="432"/>
    </row>
    <row r="337" spans="2:23">
      <c r="B337" s="433"/>
      <c r="C337" s="205"/>
      <c r="D337" s="750" t="s">
        <v>859</v>
      </c>
      <c r="E337" s="801"/>
      <c r="F337" s="820">
        <v>1.5</v>
      </c>
      <c r="G337" s="616" t="s">
        <v>0</v>
      </c>
      <c r="H337" s="801"/>
      <c r="I337" s="801"/>
      <c r="J337" s="801"/>
      <c r="K337" s="801"/>
      <c r="L337" s="801"/>
      <c r="M337" s="801"/>
      <c r="N337" s="801"/>
      <c r="O337" s="801"/>
      <c r="P337" s="801"/>
      <c r="Q337" s="796"/>
      <c r="R337" s="534"/>
      <c r="S337" s="799"/>
      <c r="T337" s="457"/>
      <c r="U337" s="457"/>
      <c r="V337" s="435"/>
      <c r="W337" s="432"/>
    </row>
    <row r="338" spans="2:23">
      <c r="B338" s="433"/>
      <c r="C338" s="205"/>
      <c r="D338" s="750"/>
      <c r="E338" s="801"/>
      <c r="F338" s="820"/>
      <c r="G338" s="616"/>
      <c r="H338" s="801"/>
      <c r="I338" s="801"/>
      <c r="J338" s="801"/>
      <c r="K338" s="801"/>
      <c r="L338" s="801"/>
      <c r="M338" s="801"/>
      <c r="N338" s="801"/>
      <c r="O338" s="801"/>
      <c r="P338" s="801"/>
      <c r="Q338" s="796"/>
      <c r="R338" s="534"/>
      <c r="S338" s="472"/>
      <c r="V338" s="236"/>
      <c r="W338" s="432"/>
    </row>
    <row r="339" spans="2:23" ht="14.1" customHeight="1">
      <c r="B339" s="840"/>
      <c r="C339" s="831" t="s">
        <v>364</v>
      </c>
      <c r="D339" s="917" t="str">
        <f>PLANILHA!B76</f>
        <v>Fornecimento de Macromedidor de vazão elétromagnético para o poço</v>
      </c>
      <c r="E339" s="917"/>
      <c r="F339" s="917"/>
      <c r="G339" s="917"/>
      <c r="H339" s="917"/>
      <c r="I339" s="917"/>
      <c r="J339" s="917"/>
      <c r="K339" s="917"/>
      <c r="L339" s="917"/>
      <c r="M339" s="917"/>
      <c r="N339" s="917"/>
      <c r="O339" s="917"/>
      <c r="P339" s="917"/>
      <c r="Q339" s="917"/>
      <c r="R339" s="744"/>
      <c r="S339" s="743"/>
      <c r="T339" s="743"/>
      <c r="U339" s="743"/>
      <c r="V339" s="743"/>
      <c r="W339" s="915"/>
    </row>
    <row r="340" spans="2:23" ht="14.1" customHeight="1">
      <c r="B340" s="740"/>
      <c r="D340" s="747" t="str">
        <f>PLANILHA!A77</f>
        <v>3.8.1</v>
      </c>
      <c r="E340" s="716" t="str">
        <f>PLANILHA!B77</f>
        <v>Macromedidor de vazão eletromagnético DN 150mm</v>
      </c>
      <c r="F340" s="742"/>
      <c r="G340" s="742"/>
      <c r="H340" s="742"/>
      <c r="I340" s="742"/>
      <c r="J340" s="742"/>
      <c r="K340" s="742"/>
      <c r="L340" s="742"/>
      <c r="M340" s="742"/>
      <c r="N340" s="742"/>
      <c r="O340" s="742"/>
      <c r="P340" s="743"/>
      <c r="Q340" s="751">
        <f>PLANILHA!C77</f>
        <v>1</v>
      </c>
      <c r="R340" s="158" t="s">
        <v>987</v>
      </c>
      <c r="S340" s="743"/>
      <c r="T340" s="743"/>
      <c r="U340" s="743"/>
      <c r="V340" s="915"/>
    </row>
    <row r="341" spans="2:23" ht="14.1" customHeight="1">
      <c r="B341" s="740"/>
      <c r="D341" s="747" t="str">
        <f>PLANILHA!A78</f>
        <v>3.8.2</v>
      </c>
      <c r="E341" s="716" t="str">
        <f>PLANILHA!B78</f>
        <v>Acessórios para Flange PN10 DN 150mm</v>
      </c>
      <c r="F341" s="742"/>
      <c r="G341" s="742"/>
      <c r="H341" s="742"/>
      <c r="I341" s="742"/>
      <c r="J341" s="742"/>
      <c r="K341" s="742"/>
      <c r="L341" s="742"/>
      <c r="M341" s="742"/>
      <c r="N341" s="742"/>
      <c r="O341" s="742"/>
      <c r="P341" s="743"/>
      <c r="Q341" s="751">
        <f>PLANILHA!C78</f>
        <v>2</v>
      </c>
      <c r="R341" s="158" t="s">
        <v>987</v>
      </c>
      <c r="S341" s="743"/>
      <c r="T341" s="743"/>
      <c r="U341" s="743"/>
      <c r="V341" s="915"/>
    </row>
    <row r="342" spans="2:23" ht="14.1" customHeight="1">
      <c r="B342" s="740"/>
      <c r="D342" s="747" t="str">
        <f>PLANILHA!A79</f>
        <v>3.8.3</v>
      </c>
      <c r="E342" s="716" t="str">
        <f>PLANILHA!B79</f>
        <v>Arruela de Borracha DN 150mm</v>
      </c>
      <c r="F342" s="742"/>
      <c r="G342" s="742"/>
      <c r="H342" s="742"/>
      <c r="I342" s="742"/>
      <c r="J342" s="742"/>
      <c r="K342" s="742"/>
      <c r="L342" s="742"/>
      <c r="M342" s="742"/>
      <c r="N342" s="742"/>
      <c r="O342" s="742"/>
      <c r="P342" s="743"/>
      <c r="Q342" s="751">
        <f>PLANILHA!C79</f>
        <v>2</v>
      </c>
      <c r="R342" s="158" t="s">
        <v>987</v>
      </c>
      <c r="S342" s="743"/>
      <c r="T342" s="743"/>
      <c r="U342" s="743"/>
      <c r="V342" s="915"/>
    </row>
    <row r="343" spans="2:23" ht="14.1" customHeight="1">
      <c r="B343" s="740"/>
      <c r="D343" s="747" t="str">
        <f>PLANILHA!A80</f>
        <v>3.8.4</v>
      </c>
      <c r="E343" s="716" t="str">
        <f>PLANILHA!B80</f>
        <v xml:space="preserve">Registro TAP 1" </v>
      </c>
      <c r="F343" s="742"/>
      <c r="G343" s="742"/>
      <c r="H343" s="742"/>
      <c r="I343" s="742"/>
      <c r="J343" s="742"/>
      <c r="K343" s="742"/>
      <c r="L343" s="742"/>
      <c r="M343" s="742"/>
      <c r="N343" s="742"/>
      <c r="O343" s="742"/>
      <c r="P343" s="743"/>
      <c r="Q343" s="751">
        <f>PLANILHA!C80</f>
        <v>1</v>
      </c>
      <c r="R343" s="158"/>
      <c r="S343" s="743"/>
      <c r="T343" s="743"/>
      <c r="U343" s="743"/>
      <c r="V343" s="743"/>
    </row>
    <row r="344" spans="2:23" ht="14.1" customHeight="1">
      <c r="B344" s="740"/>
      <c r="D344" s="747" t="str">
        <f>PLANILHA!A81</f>
        <v>3.8.5</v>
      </c>
      <c r="E344" s="716" t="str">
        <f>PLANILHA!B81</f>
        <v xml:space="preserve">Colar de tomada DN 150mm </v>
      </c>
      <c r="F344" s="742"/>
      <c r="G344" s="742"/>
      <c r="H344" s="742"/>
      <c r="I344" s="742"/>
      <c r="J344" s="742"/>
      <c r="K344" s="742"/>
      <c r="L344" s="742"/>
      <c r="M344" s="742"/>
      <c r="N344" s="742"/>
      <c r="O344" s="742"/>
      <c r="P344" s="743"/>
      <c r="Q344" s="751">
        <f>PLANILHA!C81</f>
        <v>1</v>
      </c>
      <c r="R344" s="158"/>
      <c r="S344" s="743"/>
      <c r="T344" s="743"/>
      <c r="U344" s="743"/>
      <c r="V344" s="743"/>
    </row>
    <row r="345" spans="2:23" ht="14.1" customHeight="1">
      <c r="B345" s="740"/>
      <c r="C345" s="747"/>
      <c r="D345" s="616"/>
      <c r="E345" s="742"/>
      <c r="F345" s="742"/>
      <c r="G345" s="742"/>
      <c r="H345" s="742"/>
      <c r="I345" s="742"/>
      <c r="J345" s="742"/>
      <c r="K345" s="742"/>
      <c r="L345" s="742"/>
      <c r="M345" s="742"/>
      <c r="N345" s="742"/>
      <c r="O345" s="742"/>
      <c r="P345" s="743"/>
      <c r="Q345" s="744"/>
      <c r="R345" s="744"/>
      <c r="S345" s="743"/>
      <c r="T345" s="743"/>
      <c r="U345" s="743"/>
      <c r="V345" s="743"/>
      <c r="W345" s="915"/>
    </row>
    <row r="346" spans="2:23" ht="14.1" customHeight="1">
      <c r="B346" s="740"/>
      <c r="C346" s="741" t="str">
        <f>PLANILHA!A82</f>
        <v>3.9</v>
      </c>
      <c r="D346" s="480" t="str">
        <f>PLANILHA!B82</f>
        <v>Instalação de Macromedidor de vazão do Poço</v>
      </c>
      <c r="E346" s="742"/>
      <c r="F346" s="742"/>
      <c r="G346" s="742"/>
      <c r="H346" s="742"/>
      <c r="I346" s="742"/>
      <c r="J346" s="742"/>
      <c r="K346" s="742"/>
      <c r="L346" s="742"/>
      <c r="M346" s="742"/>
      <c r="N346" s="742"/>
      <c r="O346" s="742"/>
      <c r="P346" s="743"/>
      <c r="Q346" s="744"/>
      <c r="R346" s="744"/>
      <c r="S346" s="743"/>
      <c r="T346" s="743"/>
      <c r="U346" s="743"/>
      <c r="V346" s="743"/>
      <c r="W346" s="915"/>
    </row>
    <row r="347" spans="2:23" ht="14.1" customHeight="1">
      <c r="B347" s="740"/>
      <c r="C347" s="741"/>
      <c r="D347" s="742"/>
      <c r="E347" s="742"/>
      <c r="F347" s="742"/>
      <c r="G347" s="742"/>
      <c r="H347" s="742"/>
      <c r="I347" s="742"/>
      <c r="J347" s="742"/>
      <c r="K347" s="742"/>
      <c r="L347" s="742"/>
      <c r="M347" s="742"/>
      <c r="N347" s="742"/>
      <c r="O347" s="742"/>
      <c r="P347" s="743"/>
      <c r="Q347" s="744"/>
      <c r="R347" s="744"/>
      <c r="S347" s="743"/>
      <c r="T347" s="743"/>
      <c r="U347" s="743"/>
      <c r="V347" s="743"/>
      <c r="W347" s="915"/>
    </row>
    <row r="348" spans="2:23" ht="14.1" customHeight="1">
      <c r="B348" s="740"/>
      <c r="D348" s="1258" t="s">
        <v>102</v>
      </c>
      <c r="E348" s="1259"/>
      <c r="F348" s="1259"/>
      <c r="G348" s="1259"/>
      <c r="H348" s="1259"/>
      <c r="I348" s="1259"/>
      <c r="J348" s="1260"/>
      <c r="K348" s="524"/>
      <c r="L348" s="524"/>
      <c r="M348" s="137"/>
      <c r="N348" s="135"/>
      <c r="O348" s="135"/>
      <c r="P348" s="1091" t="s">
        <v>1493</v>
      </c>
      <c r="Q348" s="1091"/>
      <c r="R348" s="524"/>
      <c r="S348" s="524"/>
      <c r="T348" s="524"/>
      <c r="U348" s="524"/>
      <c r="V348" s="743"/>
      <c r="W348" s="915"/>
    </row>
    <row r="349" spans="2:23" ht="14.1" customHeight="1">
      <c r="B349" s="740"/>
      <c r="D349" s="1261" t="s">
        <v>103</v>
      </c>
      <c r="E349" s="1262"/>
      <c r="F349" s="1262"/>
      <c r="G349" s="1262"/>
      <c r="H349" s="1262"/>
      <c r="I349" s="1262"/>
      <c r="J349" s="1263"/>
      <c r="K349" s="524"/>
      <c r="L349" s="524"/>
      <c r="M349" s="138"/>
      <c r="N349" s="918"/>
      <c r="O349" s="919"/>
      <c r="P349" s="918">
        <v>1</v>
      </c>
      <c r="Q349" s="919" t="s">
        <v>107</v>
      </c>
      <c r="R349" s="1145"/>
      <c r="S349" s="1145"/>
      <c r="T349" s="1145"/>
      <c r="U349" s="1145"/>
      <c r="V349" s="743"/>
      <c r="W349" s="915"/>
    </row>
    <row r="350" spans="2:23" ht="14.1" customHeight="1">
      <c r="B350" s="740"/>
      <c r="D350" s="839"/>
      <c r="E350" s="839"/>
      <c r="F350" s="839"/>
      <c r="G350" s="839"/>
      <c r="H350" s="839"/>
      <c r="I350" s="839"/>
      <c r="J350" s="839"/>
      <c r="K350" s="135"/>
      <c r="L350" s="135"/>
      <c r="M350" s="139"/>
      <c r="N350" s="1147"/>
      <c r="O350" s="1147"/>
      <c r="P350" s="1017"/>
      <c r="Q350" s="1017"/>
      <c r="R350" s="1017"/>
      <c r="S350" s="1017"/>
      <c r="T350" s="1015"/>
      <c r="U350" s="1015"/>
      <c r="V350" s="743"/>
      <c r="W350" s="915"/>
    </row>
    <row r="351" spans="2:23" ht="14.1" customHeight="1">
      <c r="B351" s="740"/>
      <c r="D351" s="753">
        <v>4</v>
      </c>
      <c r="E351" s="827" t="s">
        <v>108</v>
      </c>
      <c r="F351" s="1264" t="s">
        <v>1678</v>
      </c>
      <c r="G351" s="1265"/>
      <c r="H351" s="1266"/>
      <c r="I351" s="753">
        <f>$P$349*D351</f>
        <v>4</v>
      </c>
      <c r="J351" s="827" t="s">
        <v>108</v>
      </c>
      <c r="K351" s="135"/>
      <c r="L351" s="135"/>
      <c r="M351" s="140"/>
      <c r="N351" s="135"/>
      <c r="O351" s="135"/>
      <c r="P351" s="135"/>
      <c r="Q351" s="135"/>
      <c r="R351" s="135"/>
      <c r="S351" s="135"/>
      <c r="T351" s="135"/>
      <c r="U351" s="135"/>
      <c r="V351" s="743"/>
      <c r="W351" s="915"/>
    </row>
    <row r="352" spans="2:23" ht="14.1" customHeight="1">
      <c r="B352" s="740"/>
      <c r="D352" s="753">
        <v>8</v>
      </c>
      <c r="E352" s="827" t="s">
        <v>108</v>
      </c>
      <c r="F352" s="1264" t="s">
        <v>1721</v>
      </c>
      <c r="G352" s="1265"/>
      <c r="H352" s="1266"/>
      <c r="I352" s="753">
        <f t="shared" ref="I352:I354" si="2">$P$349*D352</f>
        <v>8</v>
      </c>
      <c r="J352" s="827" t="s">
        <v>108</v>
      </c>
      <c r="K352" s="135"/>
      <c r="L352" s="135"/>
      <c r="M352" s="140"/>
      <c r="N352" s="524"/>
      <c r="O352" s="135"/>
      <c r="P352" s="524"/>
      <c r="Q352" s="524"/>
      <c r="R352" s="1148"/>
      <c r="S352" s="1148"/>
      <c r="T352" s="1148"/>
      <c r="U352" s="1148"/>
      <c r="V352" s="743"/>
      <c r="W352" s="915"/>
    </row>
    <row r="353" spans="2:23" ht="14.1" customHeight="1">
      <c r="B353" s="740"/>
      <c r="D353" s="753">
        <v>8</v>
      </c>
      <c r="E353" s="827" t="s">
        <v>108</v>
      </c>
      <c r="F353" s="1264" t="s">
        <v>1722</v>
      </c>
      <c r="G353" s="1265"/>
      <c r="H353" s="1266"/>
      <c r="I353" s="753">
        <f t="shared" si="2"/>
        <v>8</v>
      </c>
      <c r="J353" s="827" t="s">
        <v>108</v>
      </c>
      <c r="K353" s="135"/>
      <c r="L353" s="135"/>
      <c r="M353" s="140"/>
      <c r="N353" s="134"/>
      <c r="O353" s="405"/>
      <c r="P353" s="1015"/>
      <c r="Q353" s="1015"/>
      <c r="R353" s="134"/>
      <c r="S353" s="405"/>
      <c r="T353" s="1015"/>
      <c r="U353" s="1015"/>
      <c r="V353" s="743"/>
      <c r="W353" s="915"/>
    </row>
    <row r="354" spans="2:23" ht="14.1" customHeight="1">
      <c r="B354" s="740"/>
      <c r="D354" s="753">
        <v>8</v>
      </c>
      <c r="E354" s="827" t="s">
        <v>108</v>
      </c>
      <c r="F354" s="1264" t="s">
        <v>1677</v>
      </c>
      <c r="G354" s="1265"/>
      <c r="H354" s="1266"/>
      <c r="I354" s="753">
        <f t="shared" si="2"/>
        <v>8</v>
      </c>
      <c r="J354" s="827" t="s">
        <v>108</v>
      </c>
      <c r="K354" s="135"/>
      <c r="L354" s="135"/>
      <c r="M354" s="140"/>
      <c r="N354" s="406"/>
      <c r="O354" s="405"/>
      <c r="P354" s="1015"/>
      <c r="Q354" s="1015"/>
      <c r="R354" s="134"/>
      <c r="S354" s="405"/>
      <c r="T354" s="1015"/>
      <c r="U354" s="1015"/>
      <c r="V354" s="743"/>
      <c r="W354" s="915"/>
    </row>
    <row r="355" spans="2:23" ht="14.1" customHeight="1">
      <c r="B355" s="740"/>
      <c r="C355" s="88"/>
      <c r="D355" s="88"/>
      <c r="E355" s="88"/>
      <c r="F355" s="88"/>
      <c r="G355" s="88"/>
      <c r="H355" s="88"/>
      <c r="I355" s="88"/>
      <c r="J355" s="474"/>
      <c r="K355" s="474"/>
      <c r="L355" s="459"/>
      <c r="M355" s="23"/>
      <c r="N355" s="133"/>
      <c r="O355" s="135"/>
      <c r="P355" s="994"/>
      <c r="Q355" s="994"/>
      <c r="R355" s="134"/>
      <c r="S355" s="405"/>
      <c r="T355" s="994"/>
      <c r="U355" s="994"/>
      <c r="V355" s="743"/>
      <c r="W355" s="915"/>
    </row>
    <row r="356" spans="2:23" ht="14.1" customHeight="1">
      <c r="B356" s="740"/>
      <c r="C356" s="1267" t="s">
        <v>115</v>
      </c>
      <c r="D356" s="1268"/>
      <c r="E356" s="1268"/>
      <c r="F356" s="1268"/>
      <c r="G356" s="1269"/>
      <c r="H356" s="920"/>
      <c r="I356" s="920"/>
      <c r="J356" s="920"/>
      <c r="K356" s="920"/>
      <c r="L356" s="920"/>
      <c r="M356" s="920"/>
      <c r="N356" s="920"/>
      <c r="O356" s="920"/>
      <c r="P356" s="920"/>
      <c r="Q356" s="236"/>
      <c r="R356" s="154"/>
      <c r="S356" s="88"/>
      <c r="T356" s="88"/>
      <c r="U356" s="88"/>
      <c r="V356" s="743"/>
      <c r="W356" s="915"/>
    </row>
    <row r="357" spans="2:23" ht="14.1" customHeight="1">
      <c r="B357" s="840"/>
      <c r="D357" s="403" t="str">
        <f>PLANILHA!A83</f>
        <v>3.9.1</v>
      </c>
      <c r="E357" s="616" t="s">
        <v>1717</v>
      </c>
      <c r="F357" s="616"/>
      <c r="G357" s="174"/>
      <c r="Q357" s="751">
        <f>I351</f>
        <v>4</v>
      </c>
      <c r="R357" s="11" t="s">
        <v>108</v>
      </c>
      <c r="S357" s="88"/>
      <c r="T357" s="88"/>
      <c r="U357" s="88"/>
      <c r="V357" s="743"/>
      <c r="W357" s="915"/>
    </row>
    <row r="358" spans="2:23" ht="14.1" customHeight="1">
      <c r="B358" s="840"/>
      <c r="D358" s="403" t="str">
        <f>PLANILHA!A84</f>
        <v>3.9.2</v>
      </c>
      <c r="E358" s="616" t="s">
        <v>1170</v>
      </c>
      <c r="F358" s="616"/>
      <c r="G358" s="174"/>
      <c r="Q358" s="751">
        <f>I352</f>
        <v>8</v>
      </c>
      <c r="R358" s="11" t="s">
        <v>108</v>
      </c>
      <c r="S358" s="88"/>
      <c r="T358" s="88"/>
      <c r="U358" s="88"/>
      <c r="V358" s="743"/>
      <c r="W358" s="915"/>
    </row>
    <row r="359" spans="2:23" ht="14.1" customHeight="1">
      <c r="B359" s="840"/>
      <c r="D359" s="403" t="str">
        <f>PLANILHA!A85</f>
        <v>3.9.3</v>
      </c>
      <c r="E359" s="616" t="s">
        <v>1171</v>
      </c>
      <c r="F359" s="616"/>
      <c r="G359" s="174"/>
      <c r="Q359" s="751">
        <f>I353</f>
        <v>8</v>
      </c>
      <c r="R359" s="11" t="s">
        <v>108</v>
      </c>
      <c r="S359" s="88"/>
      <c r="T359" s="88"/>
      <c r="U359" s="88"/>
      <c r="V359" s="743"/>
      <c r="W359" s="915"/>
    </row>
    <row r="360" spans="2:23" ht="14.1" customHeight="1">
      <c r="B360" s="840"/>
      <c r="D360" s="403" t="str">
        <f>PLANILHA!A86</f>
        <v>3.9.4</v>
      </c>
      <c r="E360" s="616" t="s">
        <v>1172</v>
      </c>
      <c r="F360" s="616"/>
      <c r="G360" s="174"/>
      <c r="Q360" s="751">
        <f>I354</f>
        <v>8</v>
      </c>
      <c r="R360" s="11" t="s">
        <v>108</v>
      </c>
      <c r="S360" s="88"/>
      <c r="T360" s="88"/>
      <c r="U360" s="88"/>
      <c r="V360" s="743"/>
      <c r="W360" s="915"/>
    </row>
    <row r="361" spans="2:23" ht="14.1" customHeight="1">
      <c r="B361" s="740"/>
      <c r="C361" s="615"/>
      <c r="D361" s="616"/>
      <c r="E361" s="616"/>
      <c r="F361" s="616"/>
      <c r="G361" s="174"/>
      <c r="Q361" s="158"/>
      <c r="R361" s="403"/>
      <c r="S361" s="317"/>
      <c r="V361" s="743"/>
      <c r="W361" s="915"/>
    </row>
    <row r="362" spans="2:23" ht="14.1" customHeight="1">
      <c r="B362" s="740"/>
      <c r="C362" s="741" t="str">
        <f>PLANILHA!A87</f>
        <v>3.10</v>
      </c>
      <c r="D362" s="1277" t="str">
        <f>PLANILHA!B87</f>
        <v>Aferição e calibração de macromedidor do poço com pitometria</v>
      </c>
      <c r="E362" s="1273"/>
      <c r="F362" s="1273"/>
      <c r="G362" s="1273"/>
      <c r="H362" s="1273"/>
      <c r="I362" s="1273"/>
      <c r="J362" s="1273"/>
      <c r="K362" s="1273"/>
      <c r="L362" s="1273"/>
      <c r="Q362" s="158"/>
      <c r="R362" s="403"/>
      <c r="S362" s="317"/>
      <c r="V362" s="743"/>
      <c r="W362" s="915"/>
    </row>
    <row r="363" spans="2:23" ht="14.1" customHeight="1">
      <c r="B363" s="740"/>
      <c r="C363" s="615"/>
      <c r="D363" s="616"/>
      <c r="E363" s="616"/>
      <c r="F363" s="616"/>
      <c r="G363" s="174"/>
      <c r="Q363" s="158"/>
      <c r="R363" s="403"/>
      <c r="S363" s="317"/>
      <c r="V363" s="743"/>
      <c r="W363" s="915"/>
    </row>
    <row r="364" spans="2:23" ht="14.1" customHeight="1">
      <c r="B364" s="740"/>
      <c r="D364" s="1258" t="s">
        <v>102</v>
      </c>
      <c r="E364" s="1259"/>
      <c r="F364" s="1259"/>
      <c r="G364" s="1259"/>
      <c r="H364" s="1259"/>
      <c r="I364" s="1259"/>
      <c r="J364" s="1260"/>
      <c r="K364" s="524"/>
      <c r="L364" s="524"/>
      <c r="M364" s="137"/>
      <c r="N364" s="135" t="s">
        <v>1173</v>
      </c>
      <c r="O364" s="135"/>
      <c r="P364" s="1091" t="s">
        <v>1493</v>
      </c>
      <c r="Q364" s="1091"/>
      <c r="R364" s="524"/>
      <c r="S364" s="524"/>
      <c r="T364" s="524"/>
      <c r="U364" s="524"/>
      <c r="V364" s="743"/>
      <c r="W364" s="915"/>
    </row>
    <row r="365" spans="2:23" ht="14.1" customHeight="1">
      <c r="B365" s="740"/>
      <c r="D365" s="1261" t="s">
        <v>103</v>
      </c>
      <c r="E365" s="1262"/>
      <c r="F365" s="1262"/>
      <c r="G365" s="1262"/>
      <c r="H365" s="1262"/>
      <c r="I365" s="1262"/>
      <c r="J365" s="1263"/>
      <c r="K365" s="524"/>
      <c r="L365" s="524"/>
      <c r="M365" s="138"/>
      <c r="N365" s="918">
        <v>1</v>
      </c>
      <c r="O365" s="919" t="s">
        <v>987</v>
      </c>
      <c r="P365" s="918">
        <v>2</v>
      </c>
      <c r="Q365" s="919" t="s">
        <v>107</v>
      </c>
      <c r="R365" s="525"/>
      <c r="S365" s="525"/>
      <c r="T365" s="525"/>
      <c r="U365" s="525"/>
      <c r="V365" s="743"/>
      <c r="W365" s="915"/>
    </row>
    <row r="366" spans="2:23" ht="14.1" customHeight="1">
      <c r="B366" s="740"/>
      <c r="D366" s="839"/>
      <c r="E366" s="839"/>
      <c r="F366" s="839"/>
      <c r="G366" s="839"/>
      <c r="H366" s="839"/>
      <c r="I366" s="839"/>
      <c r="J366" s="839"/>
      <c r="K366" s="135"/>
      <c r="L366" s="135"/>
      <c r="M366" s="139"/>
      <c r="N366" s="1147"/>
      <c r="O366" s="1147"/>
      <c r="P366" s="1017"/>
      <c r="Q366" s="1017"/>
      <c r="R366" s="916"/>
      <c r="S366" s="916"/>
      <c r="V366" s="743"/>
      <c r="W366" s="915"/>
    </row>
    <row r="367" spans="2:23" ht="14.1" customHeight="1">
      <c r="B367" s="740"/>
      <c r="D367" s="753">
        <v>4</v>
      </c>
      <c r="E367" s="827" t="s">
        <v>108</v>
      </c>
      <c r="F367" s="1255" t="s">
        <v>1678</v>
      </c>
      <c r="G367" s="1256"/>
      <c r="H367" s="1257"/>
      <c r="I367" s="753">
        <f>PLANILHA!C88</f>
        <v>4</v>
      </c>
      <c r="J367" s="827" t="s">
        <v>108</v>
      </c>
      <c r="K367" s="135"/>
      <c r="L367" s="135"/>
      <c r="M367" s="140"/>
      <c r="N367" s="135"/>
      <c r="O367" s="135"/>
      <c r="P367" s="135"/>
      <c r="Q367" s="135"/>
      <c r="R367" s="135"/>
      <c r="S367" s="135"/>
      <c r="T367" s="135"/>
      <c r="U367" s="135"/>
      <c r="V367" s="743"/>
      <c r="W367" s="915"/>
    </row>
    <row r="368" spans="2:23" ht="14.1" customHeight="1">
      <c r="B368" s="740"/>
      <c r="D368" s="753">
        <v>8</v>
      </c>
      <c r="E368" s="827" t="s">
        <v>108</v>
      </c>
      <c r="F368" s="1255" t="s">
        <v>1722</v>
      </c>
      <c r="G368" s="1256"/>
      <c r="H368" s="1257"/>
      <c r="I368" s="753">
        <f>PLANILHA!C89</f>
        <v>16</v>
      </c>
      <c r="J368" s="827" t="s">
        <v>108</v>
      </c>
      <c r="K368" s="135"/>
      <c r="L368" s="135"/>
      <c r="M368" s="140"/>
      <c r="N368" s="134"/>
      <c r="O368" s="405"/>
      <c r="P368" s="1015"/>
      <c r="Q368" s="1015"/>
      <c r="R368" s="134"/>
      <c r="S368" s="405"/>
      <c r="V368" s="743"/>
      <c r="W368" s="915"/>
    </row>
    <row r="369" spans="2:23" ht="14.1" customHeight="1">
      <c r="B369" s="740"/>
      <c r="D369" s="753">
        <v>8</v>
      </c>
      <c r="E369" s="827" t="s">
        <v>108</v>
      </c>
      <c r="F369" s="1255" t="s">
        <v>1677</v>
      </c>
      <c r="G369" s="1256"/>
      <c r="H369" s="1257"/>
      <c r="I369" s="753">
        <f>PLANILHA!C90</f>
        <v>16</v>
      </c>
      <c r="J369" s="827" t="s">
        <v>108</v>
      </c>
      <c r="K369" s="135"/>
      <c r="L369" s="135"/>
      <c r="M369" s="140"/>
      <c r="N369" s="406"/>
      <c r="O369" s="405"/>
      <c r="P369" s="1015"/>
      <c r="Q369" s="1015"/>
      <c r="R369" s="134"/>
      <c r="S369" s="405"/>
      <c r="V369" s="743"/>
      <c r="W369" s="915"/>
    </row>
    <row r="370" spans="2:23" ht="14.1" customHeight="1">
      <c r="B370" s="740"/>
      <c r="C370" s="88"/>
      <c r="D370" s="88"/>
      <c r="E370" s="88"/>
      <c r="F370" s="88"/>
      <c r="G370" s="88"/>
      <c r="H370" s="88"/>
      <c r="I370" s="88"/>
      <c r="J370" s="474"/>
      <c r="K370" s="474"/>
      <c r="L370" s="459"/>
      <c r="M370" s="23"/>
      <c r="N370" s="133"/>
      <c r="O370" s="135"/>
      <c r="P370" s="994"/>
      <c r="Q370" s="994"/>
      <c r="R370" s="134"/>
      <c r="S370" s="405"/>
      <c r="T370" s="457"/>
      <c r="U370" s="457"/>
      <c r="V370" s="743"/>
      <c r="W370" s="915"/>
    </row>
    <row r="371" spans="2:23" ht="14.1" customHeight="1">
      <c r="B371" s="740"/>
      <c r="D371" s="476" t="s">
        <v>115</v>
      </c>
      <c r="E371" s="477"/>
      <c r="F371" s="477"/>
      <c r="G371" s="504"/>
      <c r="H371" s="88"/>
      <c r="I371" s="88"/>
      <c r="J371" s="88"/>
      <c r="K371" s="88"/>
      <c r="L371" s="88"/>
      <c r="M371" s="88"/>
      <c r="N371" s="88"/>
      <c r="O371" s="88"/>
      <c r="P371" s="88"/>
      <c r="Q371" s="236"/>
      <c r="R371" s="154"/>
      <c r="S371" s="88"/>
      <c r="T371" s="88"/>
      <c r="U371" s="88"/>
      <c r="V371" s="743"/>
      <c r="W371" s="915"/>
    </row>
    <row r="372" spans="2:23" ht="14.1" customHeight="1">
      <c r="B372" s="740"/>
      <c r="D372" s="11" t="str">
        <f>PLANILHA!A88</f>
        <v>3.10.1</v>
      </c>
      <c r="E372" s="8" t="str">
        <f>PLANILHA!B88</f>
        <v>Engenheiro Civil de obras com encargos complementares (4 h/dia x 1 dia)</v>
      </c>
      <c r="F372" s="179"/>
      <c r="G372" s="179"/>
      <c r="H372" s="179"/>
      <c r="I372" s="179"/>
      <c r="J372" s="179"/>
      <c r="K372" s="179"/>
      <c r="L372" s="179"/>
      <c r="M372" s="179"/>
      <c r="N372" s="179"/>
      <c r="O372" s="179"/>
      <c r="P372" s="921"/>
      <c r="Q372" s="751">
        <f>I367</f>
        <v>4</v>
      </c>
      <c r="R372" s="11" t="s">
        <v>352</v>
      </c>
      <c r="S372" s="88"/>
      <c r="T372" s="88"/>
      <c r="U372" s="88"/>
      <c r="V372" s="743"/>
      <c r="W372" s="915"/>
    </row>
    <row r="373" spans="2:23" ht="14.1" customHeight="1">
      <c r="B373" s="740"/>
      <c r="D373" s="11" t="str">
        <f>PLANILHA!A89</f>
        <v>3.10.2</v>
      </c>
      <c r="E373" s="8" t="str">
        <f>PLANILHA!B89</f>
        <v>Técnico em hidráulica (01 profissional x 8h/dia x 2 dia)</v>
      </c>
      <c r="F373" s="179"/>
      <c r="G373" s="179"/>
      <c r="H373" s="179"/>
      <c r="I373" s="179"/>
      <c r="J373" s="179"/>
      <c r="K373" s="179"/>
      <c r="L373" s="179"/>
      <c r="M373" s="179"/>
      <c r="N373" s="179"/>
      <c r="O373" s="179"/>
      <c r="P373" s="921"/>
      <c r="Q373" s="751">
        <f>I368</f>
        <v>16</v>
      </c>
      <c r="R373" s="11" t="s">
        <v>352</v>
      </c>
      <c r="S373" s="88"/>
      <c r="T373" s="88"/>
      <c r="U373" s="88"/>
      <c r="V373" s="743"/>
      <c r="W373" s="915"/>
    </row>
    <row r="374" spans="2:23" ht="14.1" customHeight="1">
      <c r="B374" s="740"/>
      <c r="D374" s="11" t="str">
        <f>PLANILHA!A90</f>
        <v>3.10.3</v>
      </c>
      <c r="E374" s="8" t="str">
        <f>PLANILHA!B90</f>
        <v>Auxiliar de encanador com encargos complementares (8 h/dia x 2 dias x 01 profiss.)</v>
      </c>
      <c r="F374" s="179"/>
      <c r="G374" s="179"/>
      <c r="H374" s="179"/>
      <c r="I374" s="179"/>
      <c r="J374" s="179"/>
      <c r="K374" s="179"/>
      <c r="L374" s="179"/>
      <c r="M374" s="179"/>
      <c r="N374" s="179"/>
      <c r="O374" s="179"/>
      <c r="P374" s="921"/>
      <c r="Q374" s="751">
        <f>I369</f>
        <v>16</v>
      </c>
      <c r="R374" s="11" t="s">
        <v>352</v>
      </c>
      <c r="S374" s="88"/>
      <c r="T374" s="88"/>
      <c r="U374" s="88"/>
      <c r="V374" s="743"/>
      <c r="W374" s="915"/>
    </row>
    <row r="375" spans="2:23" ht="14.1" customHeight="1">
      <c r="B375" s="433"/>
      <c r="C375" s="792"/>
      <c r="D375" s="716"/>
      <c r="E375" s="616"/>
      <c r="F375" s="616"/>
      <c r="G375" s="174"/>
      <c r="H375" s="472"/>
      <c r="I375" s="472"/>
      <c r="J375" s="472"/>
      <c r="K375" s="472"/>
      <c r="L375" s="472"/>
      <c r="M375" s="472"/>
      <c r="N375" s="472"/>
      <c r="O375" s="472"/>
      <c r="P375" s="472"/>
      <c r="Q375" s="796"/>
      <c r="R375" s="815"/>
      <c r="S375" s="815"/>
      <c r="T375" s="430"/>
      <c r="U375" s="430"/>
      <c r="V375" s="435"/>
      <c r="W375" s="432"/>
    </row>
    <row r="376" spans="2:23" ht="14.1" customHeight="1">
      <c r="B376" s="433"/>
      <c r="C376" s="758">
        <v>4</v>
      </c>
      <c r="D376" s="1302" t="s">
        <v>1548</v>
      </c>
      <c r="E376" s="1302"/>
      <c r="F376" s="1302"/>
      <c r="G376" s="1302"/>
      <c r="H376" s="1302"/>
      <c r="I376" s="1302"/>
      <c r="J376" s="1302"/>
      <c r="K376" s="1302"/>
      <c r="L376" s="1302"/>
      <c r="M376" s="1302"/>
      <c r="N376" s="1302"/>
      <c r="O376" s="1302"/>
      <c r="P376" s="1302"/>
      <c r="Q376" s="834"/>
      <c r="R376" s="815"/>
      <c r="S376" s="815"/>
      <c r="T376" s="430"/>
      <c r="U376" s="430"/>
      <c r="V376" s="435"/>
      <c r="W376" s="432"/>
    </row>
    <row r="377" spans="2:23">
      <c r="B377" s="433"/>
      <c r="C377" s="747" t="str">
        <f>PLANILHA!A93</f>
        <v>4.1</v>
      </c>
      <c r="D377" s="616" t="s">
        <v>1446</v>
      </c>
      <c r="E377" s="616"/>
      <c r="F377" s="616"/>
      <c r="G377" s="174"/>
      <c r="H377" s="472"/>
      <c r="I377" s="472"/>
      <c r="J377" s="472"/>
      <c r="K377" s="472"/>
      <c r="L377" s="472"/>
      <c r="M377" s="472"/>
      <c r="N377" s="472"/>
      <c r="O377" s="472"/>
      <c r="P377" s="472"/>
      <c r="Q377" s="812">
        <v>1</v>
      </c>
      <c r="R377" s="796" t="s">
        <v>987</v>
      </c>
      <c r="S377" s="815"/>
      <c r="T377" s="430"/>
      <c r="U377" s="430"/>
      <c r="V377" s="435"/>
      <c r="W377" s="432"/>
    </row>
    <row r="378" spans="2:23">
      <c r="B378" s="433"/>
      <c r="C378" s="747" t="str">
        <f>PLANILHA!A94</f>
        <v>4.2</v>
      </c>
      <c r="D378" s="1272" t="s">
        <v>1684</v>
      </c>
      <c r="E378" s="1272"/>
      <c r="F378" s="1272"/>
      <c r="G378" s="1272"/>
      <c r="H378" s="1272"/>
      <c r="I378" s="1272"/>
      <c r="J378" s="1272"/>
      <c r="K378" s="1272"/>
      <c r="L378" s="1272"/>
      <c r="M378" s="1272"/>
      <c r="N378" s="1272"/>
      <c r="O378" s="1272"/>
      <c r="P378" s="1272"/>
      <c r="Q378" s="812">
        <v>1</v>
      </c>
      <c r="R378" s="796" t="s">
        <v>987</v>
      </c>
      <c r="S378" s="815"/>
      <c r="T378" s="430"/>
      <c r="U378" s="430"/>
      <c r="V378" s="435"/>
      <c r="W378" s="432"/>
    </row>
    <row r="379" spans="2:23">
      <c r="B379" s="433"/>
      <c r="C379" s="747" t="str">
        <f>PLANILHA!A95</f>
        <v>4.3</v>
      </c>
      <c r="D379" s="1272" t="str">
        <f>PLANILHA!B95</f>
        <v xml:space="preserve">Integração do sensor de nível na estação remota existente (Adequação de painel, fonte, CLP) </v>
      </c>
      <c r="E379" s="1272"/>
      <c r="F379" s="1272"/>
      <c r="G379" s="1272"/>
      <c r="H379" s="1272"/>
      <c r="I379" s="1272"/>
      <c r="J379" s="1272"/>
      <c r="K379" s="1272"/>
      <c r="L379" s="1272"/>
      <c r="M379" s="1272"/>
      <c r="N379" s="1272"/>
      <c r="O379" s="1272"/>
      <c r="P379" s="1272"/>
      <c r="Q379" s="812">
        <v>1</v>
      </c>
      <c r="R379" s="796" t="s">
        <v>987</v>
      </c>
      <c r="S379" s="815"/>
      <c r="T379" s="430"/>
      <c r="U379" s="430"/>
      <c r="V379" s="435"/>
      <c r="W379" s="432"/>
    </row>
    <row r="380" spans="2:23" ht="14.1" customHeight="1">
      <c r="B380" s="433"/>
      <c r="C380" s="792"/>
      <c r="D380" s="716"/>
      <c r="E380" s="616"/>
      <c r="F380" s="616"/>
      <c r="G380" s="174"/>
      <c r="H380" s="472"/>
      <c r="I380" s="472"/>
      <c r="J380" s="472"/>
      <c r="K380" s="472"/>
      <c r="L380" s="472"/>
      <c r="M380" s="472"/>
      <c r="N380" s="472"/>
      <c r="O380" s="472"/>
      <c r="P380" s="472"/>
      <c r="Q380" s="796"/>
      <c r="R380" s="815"/>
      <c r="S380" s="815"/>
      <c r="T380" s="430"/>
      <c r="U380" s="430"/>
      <c r="V380" s="435"/>
      <c r="W380" s="432"/>
    </row>
    <row r="381" spans="2:23">
      <c r="B381" s="433"/>
      <c r="C381" s="758">
        <v>5</v>
      </c>
      <c r="D381" s="1301" t="str">
        <f>PLANILHA!B97:B97</f>
        <v xml:space="preserve">Medições de parâmetros elétricos e hidráulicos do motor-bomba do poço 06 profundo, com relatórios de eficiência energética </v>
      </c>
      <c r="E381" s="1301"/>
      <c r="F381" s="1301"/>
      <c r="G381" s="1301"/>
      <c r="H381" s="1301"/>
      <c r="I381" s="1301"/>
      <c r="J381" s="1301"/>
      <c r="K381" s="1301"/>
      <c r="L381" s="1301"/>
      <c r="M381" s="1301"/>
      <c r="N381" s="1301"/>
      <c r="O381" s="1301"/>
      <c r="P381" s="1301"/>
      <c r="Q381" s="834"/>
      <c r="R381" s="815"/>
      <c r="S381" s="815"/>
      <c r="T381" s="430"/>
      <c r="U381" s="430"/>
      <c r="V381" s="435"/>
      <c r="W381" s="432"/>
    </row>
    <row r="382" spans="2:23" ht="25.5" customHeight="1">
      <c r="B382" s="433"/>
      <c r="C382" s="747" t="str">
        <f>PLANILHA!A98</f>
        <v>5.1</v>
      </c>
      <c r="D382" s="1272" t="str">
        <f>PLANILHA!B98</f>
        <v>Monitoramento de vazão e pressão, aferição e calibração por processo pitométrico ou ultrassónico, utilizando data logger com diferencial de pressão e/ou medidor ultrassónico, prazo mínimo de monitoramento 07 dias consecutivos</v>
      </c>
      <c r="E382" s="1272"/>
      <c r="F382" s="1272"/>
      <c r="G382" s="1272"/>
      <c r="H382" s="1272"/>
      <c r="I382" s="1272"/>
      <c r="J382" s="1272"/>
      <c r="K382" s="1272"/>
      <c r="L382" s="1272"/>
      <c r="M382" s="1272"/>
      <c r="N382" s="1272"/>
      <c r="O382" s="1272"/>
      <c r="P382" s="1272"/>
      <c r="Q382" s="812">
        <v>1</v>
      </c>
      <c r="R382" s="809" t="s">
        <v>987</v>
      </c>
      <c r="S382" s="815"/>
      <c r="T382" s="430"/>
      <c r="U382" s="430"/>
      <c r="V382" s="435"/>
      <c r="W382" s="432"/>
    </row>
    <row r="383" spans="2:23" ht="14.1" customHeight="1">
      <c r="B383" s="433"/>
      <c r="C383" s="747" t="str">
        <f>PLANILHA!A99</f>
        <v>5.2</v>
      </c>
      <c r="D383" s="472" t="str">
        <f>PLANILHA!B99</f>
        <v>Medição de consumo de energia elétrica e determinação das curvas de potência - eficiência energética</v>
      </c>
      <c r="E383" s="472"/>
      <c r="F383" s="472"/>
      <c r="G383" s="472"/>
      <c r="H383" s="472"/>
      <c r="I383" s="472"/>
      <c r="J383" s="472"/>
      <c r="K383" s="472"/>
      <c r="L383" s="472"/>
      <c r="M383" s="472"/>
      <c r="N383" s="472"/>
      <c r="O383" s="472"/>
      <c r="P383" s="472"/>
      <c r="Q383" s="812">
        <v>1</v>
      </c>
      <c r="R383" s="809" t="s">
        <v>987</v>
      </c>
      <c r="S383" s="815"/>
      <c r="T383" s="430"/>
      <c r="U383" s="430"/>
      <c r="V383" s="435"/>
      <c r="W383" s="432"/>
    </row>
    <row r="384" spans="2:23" ht="14.1" customHeight="1">
      <c r="B384" s="433"/>
      <c r="C384" s="792"/>
      <c r="D384" s="716"/>
      <c r="E384" s="616"/>
      <c r="F384" s="755"/>
      <c r="G384" s="756"/>
      <c r="H384" s="814"/>
      <c r="I384" s="814"/>
      <c r="J384" s="814"/>
      <c r="K384" s="814"/>
      <c r="L384" s="814"/>
      <c r="M384" s="814"/>
      <c r="N384" s="814"/>
      <c r="O384" s="814"/>
      <c r="P384" s="814"/>
      <c r="Q384" s="796"/>
      <c r="R384" s="815"/>
      <c r="S384" s="815"/>
      <c r="T384" s="430"/>
      <c r="U384" s="430"/>
      <c r="V384" s="435"/>
      <c r="W384" s="432"/>
    </row>
    <row r="385" spans="3:19">
      <c r="C385" s="472"/>
      <c r="D385" s="472"/>
      <c r="E385" s="472"/>
      <c r="F385" s="472"/>
      <c r="G385" s="472"/>
      <c r="H385" s="472"/>
      <c r="I385" s="472"/>
      <c r="J385" s="472"/>
      <c r="K385" s="472"/>
      <c r="L385" s="472"/>
      <c r="M385" s="472"/>
      <c r="N385" s="472"/>
      <c r="O385" s="472"/>
      <c r="P385" s="472"/>
      <c r="Q385" s="472"/>
      <c r="R385" s="534"/>
      <c r="S385" s="534"/>
    </row>
    <row r="386" spans="3:19">
      <c r="C386" s="472"/>
      <c r="D386" s="472"/>
      <c r="E386" s="816" t="str">
        <f>PLANILHA!A102</f>
        <v>(Um Milhões, trezentos e vinte e dois Mil, setecentos e oitenta e dois Reais e dois Centavos).</v>
      </c>
      <c r="F386" s="472"/>
      <c r="G386" s="472"/>
      <c r="H386" s="472"/>
      <c r="I386" s="472"/>
      <c r="J386" s="472"/>
      <c r="K386" s="472"/>
      <c r="L386" s="472"/>
      <c r="M386" s="472"/>
      <c r="N386" s="472"/>
      <c r="O386" s="472"/>
      <c r="P386" s="472"/>
      <c r="Q386" s="472"/>
      <c r="R386" s="534"/>
      <c r="S386" s="534"/>
    </row>
    <row r="387" spans="3:19">
      <c r="C387" s="472"/>
      <c r="D387" s="472"/>
      <c r="E387" s="816"/>
      <c r="F387" s="472"/>
      <c r="G387" s="922"/>
      <c r="H387" s="472"/>
      <c r="I387" s="472"/>
      <c r="J387" s="472"/>
      <c r="K387" s="472"/>
      <c r="L387" s="472"/>
      <c r="M387" s="472"/>
      <c r="N387" s="472"/>
      <c r="O387" s="472"/>
      <c r="P387" s="472"/>
      <c r="Q387" s="472"/>
      <c r="R387" s="534"/>
      <c r="S387" s="534"/>
    </row>
    <row r="388" spans="3:19">
      <c r="C388" s="472"/>
      <c r="D388" s="472"/>
      <c r="E388" s="817"/>
      <c r="F388" s="472"/>
      <c r="G388" s="472"/>
      <c r="H388" s="472"/>
      <c r="I388" s="472"/>
      <c r="J388" s="472"/>
      <c r="K388" s="472"/>
      <c r="L388" s="472"/>
      <c r="M388" s="472"/>
      <c r="N388" s="472"/>
      <c r="O388" s="472"/>
      <c r="P388" s="472"/>
      <c r="Q388" s="472"/>
      <c r="R388" s="534"/>
      <c r="S388" s="534"/>
    </row>
    <row r="389" spans="3:19">
      <c r="C389" s="472"/>
      <c r="D389" s="818"/>
      <c r="E389" s="819"/>
      <c r="F389" s="818"/>
      <c r="G389" s="818"/>
      <c r="H389" s="472"/>
      <c r="I389" s="472"/>
      <c r="J389" s="472"/>
      <c r="K389" s="472"/>
      <c r="L389" s="472"/>
      <c r="M389" s="472"/>
      <c r="N389" s="472"/>
      <c r="O389" s="472"/>
      <c r="P389" s="472"/>
      <c r="Q389" s="472"/>
      <c r="R389" s="534"/>
      <c r="S389" s="534"/>
    </row>
    <row r="390" spans="3:19">
      <c r="C390" s="472"/>
      <c r="D390" s="836" t="s">
        <v>1689</v>
      </c>
      <c r="E390" s="757"/>
      <c r="F390" s="472"/>
      <c r="G390" s="472"/>
      <c r="H390" s="472"/>
      <c r="I390" s="472"/>
      <c r="J390" s="472"/>
      <c r="K390" s="472"/>
      <c r="L390" s="472"/>
      <c r="M390" s="472"/>
      <c r="N390" s="472"/>
      <c r="O390" s="472"/>
      <c r="P390" s="472"/>
      <c r="Q390" s="472"/>
      <c r="R390" s="534"/>
      <c r="S390" s="534"/>
    </row>
    <row r="391" spans="3:19">
      <c r="C391" s="472"/>
      <c r="D391" s="835" t="s">
        <v>1690</v>
      </c>
      <c r="E391" s="405"/>
      <c r="F391" s="472"/>
      <c r="G391" s="472"/>
      <c r="H391" s="472"/>
      <c r="I391" s="472"/>
      <c r="J391" s="472"/>
      <c r="K391" s="472"/>
      <c r="L391" s="472"/>
      <c r="M391" s="472"/>
      <c r="N391" s="472"/>
      <c r="O391" s="472"/>
      <c r="P391" s="472"/>
      <c r="Q391" s="472"/>
      <c r="R391" s="534"/>
      <c r="S391" s="534"/>
    </row>
    <row r="392" spans="3:19">
      <c r="C392" s="472"/>
      <c r="D392" s="835" t="s">
        <v>1691</v>
      </c>
      <c r="E392" s="405"/>
      <c r="F392" s="472"/>
      <c r="G392" s="472"/>
      <c r="H392" s="472"/>
      <c r="I392" s="472"/>
      <c r="J392" s="472"/>
      <c r="K392" s="472"/>
      <c r="L392" s="472"/>
      <c r="M392" s="472"/>
      <c r="N392" s="472"/>
      <c r="O392" s="472"/>
      <c r="P392" s="472"/>
      <c r="Q392" s="472"/>
      <c r="R392" s="534"/>
      <c r="S392" s="534"/>
    </row>
    <row r="393" spans="3:19">
      <c r="C393" s="472"/>
      <c r="D393" s="774"/>
      <c r="E393" s="472"/>
      <c r="F393" s="472"/>
      <c r="G393" s="472"/>
      <c r="H393" s="472"/>
      <c r="I393" s="472"/>
      <c r="J393" s="472"/>
      <c r="K393" s="472"/>
      <c r="L393" s="472"/>
      <c r="M393" s="472"/>
      <c r="N393" s="472"/>
      <c r="O393" s="472"/>
      <c r="P393" s="472"/>
      <c r="Q393" s="472"/>
      <c r="R393" s="534"/>
      <c r="S393" s="534"/>
    </row>
  </sheetData>
  <mergeCells count="208">
    <mergeCell ref="D252:E252"/>
    <mergeCell ref="D253:P253"/>
    <mergeCell ref="D233:J233"/>
    <mergeCell ref="D234:J234"/>
    <mergeCell ref="N235:O235"/>
    <mergeCell ref="P235:Q235"/>
    <mergeCell ref="P238:Q238"/>
    <mergeCell ref="E167:K167"/>
    <mergeCell ref="E166:K166"/>
    <mergeCell ref="D186:J186"/>
    <mergeCell ref="D190:E190"/>
    <mergeCell ref="D191:E191"/>
    <mergeCell ref="D192:E192"/>
    <mergeCell ref="D193:P193"/>
    <mergeCell ref="E194:P194"/>
    <mergeCell ref="D197:E197"/>
    <mergeCell ref="E179:K179"/>
    <mergeCell ref="E180:K180"/>
    <mergeCell ref="E181:K181"/>
    <mergeCell ref="E182:K182"/>
    <mergeCell ref="E183:K183"/>
    <mergeCell ref="E171:K171"/>
    <mergeCell ref="E172:K172"/>
    <mergeCell ref="E173:K173"/>
    <mergeCell ref="D228:E228"/>
    <mergeCell ref="D229:E229"/>
    <mergeCell ref="D215:P215"/>
    <mergeCell ref="D224:P224"/>
    <mergeCell ref="F238:H238"/>
    <mergeCell ref="D245:P245"/>
    <mergeCell ref="D246:J246"/>
    <mergeCell ref="D250:E250"/>
    <mergeCell ref="D251:E251"/>
    <mergeCell ref="D203:E203"/>
    <mergeCell ref="D204:E204"/>
    <mergeCell ref="D205:E205"/>
    <mergeCell ref="D211:E211"/>
    <mergeCell ref="D212:E212"/>
    <mergeCell ref="D213:E213"/>
    <mergeCell ref="D219:E219"/>
    <mergeCell ref="D220:E220"/>
    <mergeCell ref="D221:E221"/>
    <mergeCell ref="E168:K168"/>
    <mergeCell ref="D177:D178"/>
    <mergeCell ref="E177:K178"/>
    <mergeCell ref="L177:L178"/>
    <mergeCell ref="M177:M178"/>
    <mergeCell ref="E170:K170"/>
    <mergeCell ref="E169:K169"/>
    <mergeCell ref="L162:L163"/>
    <mergeCell ref="M162:M163"/>
    <mergeCell ref="E165:K165"/>
    <mergeCell ref="E164:K164"/>
    <mergeCell ref="E153:K153"/>
    <mergeCell ref="E154:K154"/>
    <mergeCell ref="E155:K155"/>
    <mergeCell ref="E156:K156"/>
    <mergeCell ref="E157:K157"/>
    <mergeCell ref="E158:K158"/>
    <mergeCell ref="E146:K147"/>
    <mergeCell ref="D162:D163"/>
    <mergeCell ref="E162:K163"/>
    <mergeCell ref="D146:D147"/>
    <mergeCell ref="D103:E103"/>
    <mergeCell ref="D104:E104"/>
    <mergeCell ref="L146:L147"/>
    <mergeCell ref="M146:M147"/>
    <mergeCell ref="E148:K148"/>
    <mergeCell ref="E149:K149"/>
    <mergeCell ref="E150:K150"/>
    <mergeCell ref="E151:K151"/>
    <mergeCell ref="D105:E105"/>
    <mergeCell ref="D113:E113"/>
    <mergeCell ref="D114:E114"/>
    <mergeCell ref="D66:E66"/>
    <mergeCell ref="D77:P77"/>
    <mergeCell ref="E78:P78"/>
    <mergeCell ref="D75:E75"/>
    <mergeCell ref="D81:E81"/>
    <mergeCell ref="D90:E90"/>
    <mergeCell ref="D91:E91"/>
    <mergeCell ref="D97:E97"/>
    <mergeCell ref="E94:P94"/>
    <mergeCell ref="J66:K66"/>
    <mergeCell ref="D51:E51"/>
    <mergeCell ref="D52:E52"/>
    <mergeCell ref="D62:E62"/>
    <mergeCell ref="D63:E63"/>
    <mergeCell ref="D379:P379"/>
    <mergeCell ref="D381:P381"/>
    <mergeCell ref="D378:P378"/>
    <mergeCell ref="D376:P376"/>
    <mergeCell ref="D7:Q7"/>
    <mergeCell ref="D14:Q14"/>
    <mergeCell ref="P134:Q134"/>
    <mergeCell ref="P135:Q135"/>
    <mergeCell ref="P129:Q129"/>
    <mergeCell ref="D129:J129"/>
    <mergeCell ref="D136:J136"/>
    <mergeCell ref="F131:H131"/>
    <mergeCell ref="F132:H132"/>
    <mergeCell ref="F133:H133"/>
    <mergeCell ref="F134:H134"/>
    <mergeCell ref="D11:P11"/>
    <mergeCell ref="D12:P12"/>
    <mergeCell ref="D36:I36"/>
    <mergeCell ref="D64:E64"/>
    <mergeCell ref="D65:E65"/>
    <mergeCell ref="P2:T2"/>
    <mergeCell ref="P3:S3"/>
    <mergeCell ref="P5:T5"/>
    <mergeCell ref="P4:T4"/>
    <mergeCell ref="P1:T1"/>
    <mergeCell ref="E72:P72"/>
    <mergeCell ref="D71:P71"/>
    <mergeCell ref="F236:H236"/>
    <mergeCell ref="F237:H237"/>
    <mergeCell ref="E152:K152"/>
    <mergeCell ref="E1:O1"/>
    <mergeCell ref="C2:O2"/>
    <mergeCell ref="C3:O3"/>
    <mergeCell ref="D54:P54"/>
    <mergeCell ref="C4:O5"/>
    <mergeCell ref="D185:P185"/>
    <mergeCell ref="D199:P199"/>
    <mergeCell ref="D207:P207"/>
    <mergeCell ref="P133:Q133"/>
    <mergeCell ref="J62:K62"/>
    <mergeCell ref="J63:K63"/>
    <mergeCell ref="J64:K64"/>
    <mergeCell ref="J65:K65"/>
    <mergeCell ref="D50:E50"/>
    <mergeCell ref="E254:P254"/>
    <mergeCell ref="D257:E257"/>
    <mergeCell ref="D259:P259"/>
    <mergeCell ref="D263:E263"/>
    <mergeCell ref="D264:E264"/>
    <mergeCell ref="D265:E265"/>
    <mergeCell ref="D267:P267"/>
    <mergeCell ref="D271:E271"/>
    <mergeCell ref="D272:E272"/>
    <mergeCell ref="D294:J294"/>
    <mergeCell ref="N295:O295"/>
    <mergeCell ref="P295:Q295"/>
    <mergeCell ref="F296:H296"/>
    <mergeCell ref="F297:H297"/>
    <mergeCell ref="F298:H298"/>
    <mergeCell ref="P298:Q298"/>
    <mergeCell ref="D273:E273"/>
    <mergeCell ref="D275:P275"/>
    <mergeCell ref="D279:E279"/>
    <mergeCell ref="D280:E280"/>
    <mergeCell ref="D281:E281"/>
    <mergeCell ref="D284:P284"/>
    <mergeCell ref="D288:E288"/>
    <mergeCell ref="D289:E289"/>
    <mergeCell ref="D293:J293"/>
    <mergeCell ref="E326:P326"/>
    <mergeCell ref="D329:E329"/>
    <mergeCell ref="D331:P331"/>
    <mergeCell ref="E332:P332"/>
    <mergeCell ref="D335:E335"/>
    <mergeCell ref="D336:E336"/>
    <mergeCell ref="D382:P382"/>
    <mergeCell ref="D305:P305"/>
    <mergeCell ref="E306:P306"/>
    <mergeCell ref="D309:E309"/>
    <mergeCell ref="D313:J313"/>
    <mergeCell ref="D314:J314"/>
    <mergeCell ref="N315:O315"/>
    <mergeCell ref="P315:Q315"/>
    <mergeCell ref="F316:H316"/>
    <mergeCell ref="F317:H317"/>
    <mergeCell ref="F318:H318"/>
    <mergeCell ref="P318:Q318"/>
    <mergeCell ref="D325:P325"/>
    <mergeCell ref="P364:Q364"/>
    <mergeCell ref="D362:L362"/>
    <mergeCell ref="P369:Q369"/>
    <mergeCell ref="P370:Q370"/>
    <mergeCell ref="P348:Q348"/>
    <mergeCell ref="T353:U353"/>
    <mergeCell ref="P354:Q354"/>
    <mergeCell ref="T354:U354"/>
    <mergeCell ref="P355:Q355"/>
    <mergeCell ref="T355:U355"/>
    <mergeCell ref="C356:G356"/>
    <mergeCell ref="R349:U349"/>
    <mergeCell ref="N350:O350"/>
    <mergeCell ref="P350:Q350"/>
    <mergeCell ref="R350:S350"/>
    <mergeCell ref="T350:U350"/>
    <mergeCell ref="R352:U352"/>
    <mergeCell ref="F368:H368"/>
    <mergeCell ref="F369:H369"/>
    <mergeCell ref="N366:O366"/>
    <mergeCell ref="P366:Q366"/>
    <mergeCell ref="P368:Q368"/>
    <mergeCell ref="P353:Q353"/>
    <mergeCell ref="D348:J348"/>
    <mergeCell ref="D349:J349"/>
    <mergeCell ref="F351:H351"/>
    <mergeCell ref="F352:H352"/>
    <mergeCell ref="F353:H353"/>
    <mergeCell ref="F354:H354"/>
    <mergeCell ref="D364:J364"/>
    <mergeCell ref="D365:J365"/>
    <mergeCell ref="F367:H367"/>
  </mergeCells>
  <printOptions horizontalCentered="1"/>
  <pageMargins left="0.39370078740157483" right="0.39370078740157483" top="0.59055118110236227" bottom="0.59055118110236227" header="0" footer="0"/>
  <pageSetup paperSize="9" scale="72" fitToHeight="0" orientation="landscape" horizontalDpi="4294967293" r:id="rId1"/>
  <headerFooter>
    <oddFooter>&amp;RPágina &amp;P</oddFooter>
  </headerFooter>
  <rowBreaks count="9" manualBreakCount="9">
    <brk id="44" max="23" man="1"/>
    <brk id="84" max="23" man="1"/>
    <brk id="126" max="23" man="1"/>
    <brk id="159" max="23" man="1"/>
    <brk id="198" max="23" man="1"/>
    <brk id="244" max="23" man="1"/>
    <brk id="289" max="23" man="1"/>
    <brk id="338" max="23" man="1"/>
    <brk id="374" max="23" man="1"/>
  </rowBreaks>
  <colBreaks count="1" manualBreakCount="1">
    <brk id="20" max="713" man="1"/>
  </colBreaks>
  <drawing r:id="rId2"/>
</worksheet>
</file>

<file path=xl/worksheets/sheet9.xml><?xml version="1.0" encoding="utf-8"?>
<worksheet xmlns="http://schemas.openxmlformats.org/spreadsheetml/2006/main" xmlns:r="http://schemas.openxmlformats.org/officeDocument/2006/relationships">
  <sheetPr codeName="Planilha3"/>
  <dimension ref="B2:R106"/>
  <sheetViews>
    <sheetView zoomScale="85" zoomScaleNormal="85" workbookViewId="0">
      <selection activeCell="D103" sqref="D103"/>
    </sheetView>
  </sheetViews>
  <sheetFormatPr defaultRowHeight="15"/>
  <cols>
    <col min="1" max="1" width="9.140625" style="185"/>
    <col min="2" max="2" width="5" style="186" customWidth="1"/>
    <col min="3" max="3" width="86.85546875" style="185" bestFit="1" customWidth="1"/>
    <col min="4" max="4" width="14.42578125" style="185" bestFit="1" customWidth="1"/>
    <col min="5" max="5" width="14.7109375" style="185" bestFit="1" customWidth="1"/>
    <col min="6" max="6" width="16.85546875" style="185" customWidth="1"/>
    <col min="7" max="7" width="14.7109375" style="185" customWidth="1"/>
    <col min="8" max="8" width="14.28515625" style="185" customWidth="1"/>
    <col min="9" max="9" width="25.28515625" style="185" customWidth="1"/>
    <col min="10" max="10" width="21.28515625" style="185" customWidth="1"/>
    <col min="11" max="11" width="5.140625" style="185" bestFit="1" customWidth="1"/>
    <col min="12" max="12" width="2.85546875" style="185" bestFit="1" customWidth="1"/>
    <col min="13" max="13" width="18.42578125" style="185" bestFit="1" customWidth="1"/>
    <col min="14" max="14" width="15.28515625" style="186" bestFit="1" customWidth="1"/>
    <col min="15" max="15" width="9.140625" style="186"/>
    <col min="16" max="16" width="21.85546875" style="185" customWidth="1"/>
    <col min="17" max="17" width="9.140625" style="186"/>
    <col min="18" max="16384" width="9.140625" style="185"/>
  </cols>
  <sheetData>
    <row r="2" spans="3:18">
      <c r="C2" s="339" t="s">
        <v>275</v>
      </c>
      <c r="D2" s="321"/>
      <c r="E2" s="321"/>
      <c r="F2" s="321"/>
      <c r="G2" s="322"/>
    </row>
    <row r="3" spans="3:18">
      <c r="C3" s="336"/>
      <c r="G3" s="324"/>
    </row>
    <row r="4" spans="3:18">
      <c r="C4" s="323"/>
      <c r="D4" s="186" t="s">
        <v>276</v>
      </c>
      <c r="E4" s="186">
        <f>(PI()*(D7^2))/4</f>
        <v>10.178760197630931</v>
      </c>
      <c r="F4" s="186" t="s">
        <v>17</v>
      </c>
      <c r="G4" s="324"/>
    </row>
    <row r="5" spans="3:18">
      <c r="C5" s="323"/>
      <c r="D5" s="186" t="s">
        <v>277</v>
      </c>
      <c r="E5" s="186">
        <f>E4*D6</f>
        <v>203.57520395261861</v>
      </c>
      <c r="F5" s="186" t="s">
        <v>18</v>
      </c>
      <c r="G5" s="324"/>
    </row>
    <row r="6" spans="3:18">
      <c r="C6" s="323" t="s">
        <v>278</v>
      </c>
      <c r="D6" s="329">
        <v>20</v>
      </c>
      <c r="E6" s="340">
        <f>D6+0.1+0.3</f>
        <v>20.400000000000002</v>
      </c>
      <c r="F6" s="186"/>
      <c r="G6" s="324"/>
      <c r="P6" s="195" t="s">
        <v>337</v>
      </c>
      <c r="R6" s="186"/>
    </row>
    <row r="7" spans="3:18">
      <c r="C7" s="323" t="s">
        <v>279</v>
      </c>
      <c r="D7" s="340">
        <v>3.6</v>
      </c>
      <c r="E7" s="186"/>
      <c r="F7" s="186"/>
      <c r="G7" s="324"/>
      <c r="R7" s="186"/>
    </row>
    <row r="8" spans="3:18">
      <c r="C8" s="323" t="s">
        <v>280</v>
      </c>
      <c r="D8" s="187">
        <f>2*PI()*(D7/2)</f>
        <v>11.309733552923255</v>
      </c>
      <c r="E8" s="186" t="s">
        <v>0</v>
      </c>
      <c r="G8" s="324"/>
      <c r="P8" s="195" t="s">
        <v>330</v>
      </c>
      <c r="Q8" s="198" t="s">
        <v>343</v>
      </c>
      <c r="R8" s="199" t="s">
        <v>2</v>
      </c>
    </row>
    <row r="9" spans="3:18">
      <c r="C9" s="323"/>
      <c r="G9" s="324"/>
      <c r="P9" s="195" t="s">
        <v>335</v>
      </c>
      <c r="Q9" s="198" t="s">
        <v>344</v>
      </c>
      <c r="R9" s="199" t="s">
        <v>2</v>
      </c>
    </row>
    <row r="10" spans="3:18">
      <c r="C10" s="323" t="s">
        <v>281</v>
      </c>
      <c r="D10" s="187">
        <f>E6*D8</f>
        <v>230.71856447963444</v>
      </c>
      <c r="E10" s="186" t="s">
        <v>17</v>
      </c>
      <c r="G10" s="324"/>
      <c r="P10" s="195" t="s">
        <v>336</v>
      </c>
      <c r="Q10" s="198" t="s">
        <v>345</v>
      </c>
      <c r="R10" s="199" t="s">
        <v>2</v>
      </c>
    </row>
    <row r="11" spans="3:18">
      <c r="C11" s="323" t="s">
        <v>282</v>
      </c>
      <c r="D11" s="187">
        <f>6.5*7.854</f>
        <v>51.051000000000002</v>
      </c>
      <c r="E11" s="185" t="s">
        <v>283</v>
      </c>
      <c r="G11" s="324"/>
      <c r="P11" s="195" t="s">
        <v>331</v>
      </c>
      <c r="Q11" s="196" t="s">
        <v>332</v>
      </c>
      <c r="R11" s="187"/>
    </row>
    <row r="12" spans="3:18">
      <c r="C12" s="323" t="s">
        <v>284</v>
      </c>
      <c r="D12" s="188">
        <f>D11*D10</f>
        <v>11778.413435249819</v>
      </c>
      <c r="E12" s="186" t="s">
        <v>285</v>
      </c>
      <c r="G12" s="324"/>
      <c r="P12" s="195" t="s">
        <v>333</v>
      </c>
      <c r="Q12" s="196" t="s">
        <v>334</v>
      </c>
      <c r="R12" s="187"/>
    </row>
    <row r="13" spans="3:18">
      <c r="C13" s="323" t="s">
        <v>286</v>
      </c>
      <c r="D13" s="189">
        <v>35</v>
      </c>
      <c r="E13" s="325" t="s">
        <v>986</v>
      </c>
      <c r="G13" s="324"/>
      <c r="Q13" s="196" t="s">
        <v>1</v>
      </c>
      <c r="R13" s="187"/>
    </row>
    <row r="14" spans="3:18">
      <c r="C14" s="323"/>
      <c r="G14" s="324"/>
    </row>
    <row r="15" spans="3:18">
      <c r="C15" s="331" t="s">
        <v>287</v>
      </c>
      <c r="D15" s="342">
        <f>D13*D12</f>
        <v>412244.47023374366</v>
      </c>
      <c r="E15" s="332"/>
      <c r="F15" s="332"/>
      <c r="G15" s="333"/>
    </row>
    <row r="17" spans="2:12" hidden="1">
      <c r="C17" s="339" t="s">
        <v>346</v>
      </c>
      <c r="D17" s="321"/>
      <c r="E17" s="321"/>
      <c r="F17" s="321"/>
      <c r="G17" s="322"/>
    </row>
    <row r="18" spans="2:12" hidden="1">
      <c r="C18" s="336" t="s">
        <v>347</v>
      </c>
      <c r="G18" s="324"/>
    </row>
    <row r="19" spans="2:12" hidden="1">
      <c r="C19" s="341" t="s">
        <v>340</v>
      </c>
      <c r="D19" s="186"/>
      <c r="E19" s="186"/>
      <c r="G19" s="324"/>
    </row>
    <row r="20" spans="2:12" hidden="1">
      <c r="C20" s="341" t="s">
        <v>341</v>
      </c>
      <c r="D20" s="186"/>
      <c r="E20" s="186"/>
      <c r="G20" s="324"/>
    </row>
    <row r="21" spans="2:12" hidden="1">
      <c r="C21" s="341" t="s">
        <v>284</v>
      </c>
      <c r="D21" s="186">
        <v>9800</v>
      </c>
      <c r="E21" s="198" t="s">
        <v>285</v>
      </c>
      <c r="F21" s="186"/>
      <c r="G21" s="324"/>
    </row>
    <row r="22" spans="2:12" hidden="1">
      <c r="C22" s="341" t="s">
        <v>331</v>
      </c>
      <c r="D22" s="198" t="s">
        <v>332</v>
      </c>
      <c r="E22" s="186"/>
      <c r="F22" s="186"/>
      <c r="G22" s="324"/>
    </row>
    <row r="23" spans="2:12" hidden="1">
      <c r="C23" s="341" t="s">
        <v>333</v>
      </c>
      <c r="D23" s="198" t="s">
        <v>334</v>
      </c>
      <c r="E23" s="186"/>
      <c r="F23" s="186"/>
      <c r="G23" s="324"/>
    </row>
    <row r="24" spans="2:12" hidden="1">
      <c r="C24" s="341" t="s">
        <v>342</v>
      </c>
      <c r="D24" s="198" t="s">
        <v>334</v>
      </c>
      <c r="E24" s="186"/>
      <c r="F24" s="186"/>
      <c r="G24" s="324"/>
    </row>
    <row r="25" spans="2:12" hidden="1">
      <c r="C25" s="341" t="s">
        <v>286</v>
      </c>
      <c r="D25" s="189">
        <v>35</v>
      </c>
      <c r="E25" s="186"/>
      <c r="G25" s="324"/>
    </row>
    <row r="26" spans="2:12" hidden="1">
      <c r="C26" s="323"/>
      <c r="G26" s="324"/>
    </row>
    <row r="27" spans="2:12" hidden="1">
      <c r="C27" s="323" t="s">
        <v>287</v>
      </c>
      <c r="D27" s="189">
        <f>D25*D21</f>
        <v>343000</v>
      </c>
      <c r="E27" s="186"/>
      <c r="G27" s="324"/>
    </row>
    <row r="28" spans="2:12" hidden="1">
      <c r="C28" s="331"/>
      <c r="D28" s="343"/>
      <c r="E28" s="332"/>
      <c r="F28" s="332"/>
      <c r="G28" s="333"/>
    </row>
    <row r="29" spans="2:12" hidden="1">
      <c r="D29" s="188"/>
      <c r="E29" s="186"/>
    </row>
    <row r="30" spans="2:12">
      <c r="D30" s="189"/>
    </row>
    <row r="31" spans="2:12">
      <c r="B31" s="358"/>
      <c r="C31" s="364" t="s">
        <v>1029</v>
      </c>
      <c r="D31" s="363"/>
      <c r="E31" s="321"/>
      <c r="F31" s="321"/>
      <c r="G31" s="321"/>
      <c r="H31" s="321"/>
      <c r="I31" s="321"/>
      <c r="J31" s="321"/>
      <c r="K31" s="321"/>
      <c r="L31" s="322"/>
    </row>
    <row r="32" spans="2:12">
      <c r="B32" s="359"/>
      <c r="C32" s="357" t="s">
        <v>1086</v>
      </c>
      <c r="L32" s="324"/>
    </row>
    <row r="33" spans="2:12">
      <c r="B33" s="359"/>
      <c r="D33" s="347" t="s">
        <v>1027</v>
      </c>
      <c r="E33" s="186">
        <f>(PI()*(D36^2))/4</f>
        <v>72.382294738708836</v>
      </c>
      <c r="F33" s="186" t="s">
        <v>17</v>
      </c>
      <c r="L33" s="324"/>
    </row>
    <row r="34" spans="2:12">
      <c r="B34" s="359"/>
      <c r="D34" s="347" t="s">
        <v>1028</v>
      </c>
      <c r="E34" s="186">
        <f>E33*D35</f>
        <v>434.29376843225305</v>
      </c>
      <c r="F34" s="186" t="s">
        <v>18</v>
      </c>
      <c r="L34" s="324"/>
    </row>
    <row r="35" spans="2:12">
      <c r="B35" s="359"/>
      <c r="C35" s="185" t="s">
        <v>278</v>
      </c>
      <c r="D35" s="329">
        <v>6</v>
      </c>
      <c r="E35" s="340">
        <f>D35+0.1+0.3</f>
        <v>6.3999999999999995</v>
      </c>
      <c r="F35" s="186"/>
      <c r="L35" s="324"/>
    </row>
    <row r="36" spans="2:12">
      <c r="B36" s="359"/>
      <c r="C36" s="185" t="s">
        <v>279</v>
      </c>
      <c r="D36" s="340">
        <v>9.6</v>
      </c>
      <c r="E36" s="186"/>
      <c r="F36" s="186"/>
      <c r="L36" s="324"/>
    </row>
    <row r="37" spans="2:12">
      <c r="B37" s="359"/>
      <c r="C37" s="185" t="s">
        <v>280</v>
      </c>
      <c r="D37" s="187">
        <f>2*PI()*(D36/2)</f>
        <v>30.159289474462014</v>
      </c>
      <c r="E37" s="186" t="s">
        <v>0</v>
      </c>
      <c r="L37" s="324"/>
    </row>
    <row r="38" spans="2:12">
      <c r="B38" s="359"/>
      <c r="C38" s="325"/>
      <c r="D38" s="186"/>
      <c r="E38" s="186"/>
      <c r="L38" s="324"/>
    </row>
    <row r="39" spans="2:12">
      <c r="B39" s="359"/>
      <c r="C39" s="185" t="s">
        <v>281</v>
      </c>
      <c r="D39" s="187">
        <f>E35*D37</f>
        <v>193.01945263655688</v>
      </c>
      <c r="E39" s="186" t="s">
        <v>17</v>
      </c>
      <c r="L39" s="324"/>
    </row>
    <row r="40" spans="2:12">
      <c r="B40" s="359"/>
      <c r="C40" s="185" t="s">
        <v>282</v>
      </c>
      <c r="D40" s="187">
        <f>6.5*7.854</f>
        <v>51.051000000000002</v>
      </c>
      <c r="E40" s="186" t="s">
        <v>283</v>
      </c>
      <c r="L40" s="324"/>
    </row>
    <row r="41" spans="2:12">
      <c r="B41" s="359"/>
      <c r="C41" s="185" t="s">
        <v>284</v>
      </c>
      <c r="D41" s="187">
        <f>D40*D39</f>
        <v>9853.8360765488651</v>
      </c>
      <c r="E41" s="186" t="s">
        <v>285</v>
      </c>
      <c r="L41" s="324"/>
    </row>
    <row r="42" spans="2:12">
      <c r="B42" s="359"/>
      <c r="C42" s="185" t="s">
        <v>286</v>
      </c>
      <c r="D42" s="189">
        <v>0</v>
      </c>
      <c r="E42" s="325"/>
      <c r="L42" s="324"/>
    </row>
    <row r="43" spans="2:12">
      <c r="B43" s="359"/>
      <c r="L43" s="324"/>
    </row>
    <row r="44" spans="2:12">
      <c r="B44" s="359"/>
      <c r="C44" s="349" t="s">
        <v>998</v>
      </c>
      <c r="D44" s="189">
        <f>D42*D41</f>
        <v>0</v>
      </c>
      <c r="L44" s="324"/>
    </row>
    <row r="45" spans="2:12">
      <c r="B45" s="359"/>
      <c r="D45" s="189"/>
      <c r="L45" s="324"/>
    </row>
    <row r="46" spans="2:12">
      <c r="B46" s="359"/>
      <c r="D46" s="186"/>
      <c r="L46" s="324"/>
    </row>
    <row r="47" spans="2:12">
      <c r="B47" s="359"/>
      <c r="C47" s="329" t="s">
        <v>794</v>
      </c>
      <c r="D47" s="350" t="s">
        <v>826</v>
      </c>
      <c r="E47" s="329" t="s">
        <v>118</v>
      </c>
      <c r="F47" s="329" t="s">
        <v>995</v>
      </c>
      <c r="G47" s="329" t="s">
        <v>996</v>
      </c>
      <c r="H47" s="329" t="s">
        <v>833</v>
      </c>
      <c r="L47" s="324"/>
    </row>
    <row r="48" spans="2:12">
      <c r="B48" s="359">
        <v>1</v>
      </c>
      <c r="C48" s="379" t="s">
        <v>1127</v>
      </c>
      <c r="D48" s="187"/>
      <c r="E48" s="327"/>
      <c r="F48" s="327"/>
      <c r="G48" s="328"/>
      <c r="H48" s="328"/>
      <c r="L48" s="324"/>
    </row>
    <row r="49" spans="2:12">
      <c r="B49" s="360" t="s">
        <v>7</v>
      </c>
      <c r="C49" s="379" t="s">
        <v>1124</v>
      </c>
      <c r="D49" s="344">
        <f>2*2</f>
        <v>4</v>
      </c>
      <c r="E49" s="327" t="s">
        <v>108</v>
      </c>
      <c r="F49" s="378" t="s">
        <v>1125</v>
      </c>
      <c r="G49" s="328">
        <v>118.42</v>
      </c>
      <c r="H49" s="328">
        <f>G49*D49</f>
        <v>473.68</v>
      </c>
      <c r="L49" s="324"/>
    </row>
    <row r="50" spans="2:12">
      <c r="B50" s="360" t="s">
        <v>124</v>
      </c>
      <c r="C50" s="369" t="s">
        <v>1003</v>
      </c>
      <c r="D50" s="187">
        <f>2*8</f>
        <v>16</v>
      </c>
      <c r="E50" s="327" t="s">
        <v>108</v>
      </c>
      <c r="F50" s="327" t="s">
        <v>1006</v>
      </c>
      <c r="G50" s="328">
        <v>35.44</v>
      </c>
      <c r="H50" s="328">
        <f t="shared" ref="H50:H52" si="0">G50*D50</f>
        <v>567.04</v>
      </c>
      <c r="L50" s="324"/>
    </row>
    <row r="51" spans="2:12">
      <c r="B51" s="360" t="s">
        <v>125</v>
      </c>
      <c r="C51" s="369" t="s">
        <v>1129</v>
      </c>
      <c r="D51" s="187">
        <f>2*8</f>
        <v>16</v>
      </c>
      <c r="E51" s="327" t="s">
        <v>108</v>
      </c>
      <c r="F51" s="327" t="s">
        <v>1130</v>
      </c>
      <c r="G51" s="328">
        <v>35.18</v>
      </c>
      <c r="H51" s="328">
        <f t="shared" ref="H51" si="1">G51*D51</f>
        <v>562.88</v>
      </c>
      <c r="L51" s="324"/>
    </row>
    <row r="52" spans="2:12">
      <c r="B52" s="360" t="s">
        <v>127</v>
      </c>
      <c r="C52" s="326" t="s">
        <v>1004</v>
      </c>
      <c r="D52" s="187">
        <f>D50</f>
        <v>16</v>
      </c>
      <c r="E52" s="327" t="s">
        <v>108</v>
      </c>
      <c r="F52" s="327" t="s">
        <v>1007</v>
      </c>
      <c r="G52" s="328">
        <v>26.11</v>
      </c>
      <c r="H52" s="328">
        <f t="shared" si="0"/>
        <v>417.76</v>
      </c>
      <c r="L52" s="324"/>
    </row>
    <row r="53" spans="2:12">
      <c r="B53" s="360" t="s">
        <v>1011</v>
      </c>
      <c r="C53" s="379" t="s">
        <v>1126</v>
      </c>
      <c r="D53" s="187">
        <v>10</v>
      </c>
      <c r="E53" s="327" t="s">
        <v>285</v>
      </c>
      <c r="F53" s="327" t="s">
        <v>1122</v>
      </c>
      <c r="G53" s="328">
        <v>46.1</v>
      </c>
      <c r="H53" s="328">
        <f t="shared" ref="H53" si="2">G53*D53</f>
        <v>461</v>
      </c>
      <c r="L53" s="324"/>
    </row>
    <row r="54" spans="2:12">
      <c r="B54" s="360" t="s">
        <v>1012</v>
      </c>
      <c r="C54" s="379" t="s">
        <v>1095</v>
      </c>
      <c r="D54" s="187">
        <v>20</v>
      </c>
      <c r="E54" s="327" t="s">
        <v>108</v>
      </c>
      <c r="F54" s="327" t="s">
        <v>1123</v>
      </c>
      <c r="G54" s="328">
        <v>226.64</v>
      </c>
      <c r="H54" s="328">
        <f t="shared" ref="H54" si="3">G54*D54</f>
        <v>4532.7999999999993</v>
      </c>
      <c r="L54" s="324"/>
    </row>
    <row r="55" spans="2:12">
      <c r="B55" s="360"/>
      <c r="C55" s="326"/>
      <c r="D55" s="187"/>
      <c r="E55" s="327"/>
      <c r="F55" s="327"/>
      <c r="G55" s="345" t="s">
        <v>998</v>
      </c>
      <c r="H55" s="328">
        <f>SUM(H49:H54)</f>
        <v>7015.1599999999989</v>
      </c>
      <c r="L55" s="324"/>
    </row>
    <row r="56" spans="2:12">
      <c r="B56" s="360"/>
      <c r="C56" s="326"/>
      <c r="D56" s="187"/>
      <c r="E56" s="327"/>
      <c r="F56" s="327"/>
      <c r="G56" s="345"/>
      <c r="H56" s="328"/>
      <c r="L56" s="324"/>
    </row>
    <row r="57" spans="2:12">
      <c r="B57" s="360">
        <v>2</v>
      </c>
      <c r="C57" s="369" t="s">
        <v>1098</v>
      </c>
      <c r="D57" s="187"/>
      <c r="E57" s="327"/>
      <c r="F57" s="327"/>
      <c r="G57" s="345"/>
      <c r="H57" s="328"/>
      <c r="I57" s="329" t="s">
        <v>1134</v>
      </c>
      <c r="J57" s="387">
        <v>362.5</v>
      </c>
      <c r="K57" s="329" t="s">
        <v>1132</v>
      </c>
      <c r="L57" s="324"/>
    </row>
    <row r="58" spans="2:12" ht="31.5" customHeight="1">
      <c r="B58" s="370" t="s">
        <v>8</v>
      </c>
      <c r="C58" s="384" t="s">
        <v>1131</v>
      </c>
      <c r="D58" s="187">
        <f>(J57+J58)</f>
        <v>725</v>
      </c>
      <c r="E58" s="383" t="s">
        <v>1132</v>
      </c>
      <c r="F58" s="383" t="s">
        <v>1133</v>
      </c>
      <c r="G58" s="328">
        <v>2.41</v>
      </c>
      <c r="H58" s="328">
        <f t="shared" ref="H58" si="4">G58*D58</f>
        <v>1747.25</v>
      </c>
      <c r="I58" s="386" t="s">
        <v>1135</v>
      </c>
      <c r="J58" s="387">
        <v>362.5</v>
      </c>
      <c r="K58" s="329" t="s">
        <v>1132</v>
      </c>
      <c r="L58" s="324"/>
    </row>
    <row r="59" spans="2:12">
      <c r="B59" s="360"/>
      <c r="C59" s="369"/>
      <c r="D59" s="187"/>
      <c r="E59" s="327"/>
      <c r="F59" s="327"/>
      <c r="G59" s="345" t="s">
        <v>998</v>
      </c>
      <c r="H59" s="328">
        <f>SUM(H57:H58)</f>
        <v>1747.25</v>
      </c>
      <c r="L59" s="324"/>
    </row>
    <row r="60" spans="2:12">
      <c r="B60" s="360"/>
      <c r="C60" s="369"/>
      <c r="D60" s="187"/>
      <c r="E60" s="327"/>
      <c r="F60" s="327"/>
      <c r="G60" s="345"/>
      <c r="H60" s="328"/>
      <c r="L60" s="324"/>
    </row>
    <row r="61" spans="2:12" ht="30">
      <c r="B61" s="360">
        <v>3</v>
      </c>
      <c r="C61" s="373" t="s">
        <v>1099</v>
      </c>
      <c r="D61" s="187"/>
      <c r="E61" s="327"/>
      <c r="F61" s="327"/>
      <c r="G61" s="345"/>
      <c r="H61" s="328"/>
      <c r="L61" s="324"/>
    </row>
    <row r="62" spans="2:12">
      <c r="B62" s="385" t="s">
        <v>189</v>
      </c>
      <c r="C62" s="376" t="s">
        <v>1105</v>
      </c>
      <c r="D62" s="187">
        <v>2</v>
      </c>
      <c r="E62" s="383" t="s">
        <v>118</v>
      </c>
      <c r="F62" s="383" t="s">
        <v>183</v>
      </c>
      <c r="G62" s="345">
        <v>2500</v>
      </c>
      <c r="H62" s="328">
        <f>G62*D62</f>
        <v>5000</v>
      </c>
      <c r="L62" s="324"/>
    </row>
    <row r="63" spans="2:12">
      <c r="B63" s="385" t="s">
        <v>327</v>
      </c>
      <c r="C63" s="369" t="s">
        <v>1096</v>
      </c>
      <c r="D63" s="187">
        <f>2*10</f>
        <v>20</v>
      </c>
      <c r="E63" s="327" t="s">
        <v>108</v>
      </c>
      <c r="F63" s="327" t="s">
        <v>1008</v>
      </c>
      <c r="G63" s="328">
        <v>153.58000000000001</v>
      </c>
      <c r="H63" s="328">
        <f>G63*D63</f>
        <v>3071.6000000000004</v>
      </c>
      <c r="L63" s="324"/>
    </row>
    <row r="64" spans="2:12">
      <c r="B64" s="385" t="s">
        <v>357</v>
      </c>
      <c r="C64" s="325" t="s">
        <v>988</v>
      </c>
      <c r="D64" s="187">
        <f>+D65</f>
        <v>497.62920726572469</v>
      </c>
      <c r="E64" s="327" t="s">
        <v>17</v>
      </c>
      <c r="F64" s="326" t="s">
        <v>1009</v>
      </c>
      <c r="G64" s="328">
        <v>14.85</v>
      </c>
      <c r="H64" s="328">
        <f>G64*D64</f>
        <v>7389.7937278960117</v>
      </c>
      <c r="L64" s="324"/>
    </row>
    <row r="65" spans="2:14" ht="30">
      <c r="B65" s="385" t="s">
        <v>360</v>
      </c>
      <c r="C65" s="380" t="s">
        <v>1128</v>
      </c>
      <c r="D65" s="187">
        <f>((D36*3.1416*D35*2)+((2*PI()*(D36/2))*3))*1.1</f>
        <v>497.62920726572469</v>
      </c>
      <c r="E65" s="327" t="s">
        <v>17</v>
      </c>
      <c r="F65" s="374" t="s">
        <v>1102</v>
      </c>
      <c r="G65" s="375">
        <v>50.75</v>
      </c>
      <c r="H65" s="328">
        <f t="shared" ref="H65:H72" si="5">G65*D65</f>
        <v>25254.682268735527</v>
      </c>
      <c r="L65" s="324"/>
    </row>
    <row r="66" spans="2:14" ht="45">
      <c r="B66" s="385" t="s">
        <v>361</v>
      </c>
      <c r="C66" s="371" t="s">
        <v>1103</v>
      </c>
      <c r="D66" s="187">
        <f>D65</f>
        <v>497.62920726572469</v>
      </c>
      <c r="E66" s="327" t="s">
        <v>17</v>
      </c>
      <c r="F66" s="372" t="s">
        <v>1097</v>
      </c>
      <c r="G66" s="328">
        <v>193.05</v>
      </c>
      <c r="H66" s="328">
        <f t="shared" si="5"/>
        <v>96067.318462648152</v>
      </c>
      <c r="L66" s="324"/>
    </row>
    <row r="67" spans="2:14">
      <c r="B67" s="385" t="s">
        <v>362</v>
      </c>
      <c r="C67" s="371" t="s">
        <v>1104</v>
      </c>
      <c r="D67" s="187">
        <f>((D36*3.1416*D35*1)+((2*PI()*(D35/2))*3))*1.1</f>
        <v>261.25531054107796</v>
      </c>
      <c r="E67" s="327" t="s">
        <v>17</v>
      </c>
      <c r="F67" s="326" t="s">
        <v>997</v>
      </c>
      <c r="G67" s="328">
        <v>95.3</v>
      </c>
      <c r="H67" s="328">
        <f t="shared" si="5"/>
        <v>24897.631094564727</v>
      </c>
      <c r="J67" s="346" t="s">
        <v>1015</v>
      </c>
      <c r="K67" s="186">
        <f>D36+0.8</f>
        <v>10.4</v>
      </c>
      <c r="L67" s="351" t="s">
        <v>0</v>
      </c>
    </row>
    <row r="68" spans="2:14">
      <c r="B68" s="385" t="s">
        <v>363</v>
      </c>
      <c r="C68" s="326" t="s">
        <v>1013</v>
      </c>
      <c r="D68" s="187">
        <f>((2*PI()*($K$67/2))*$K$69*$K$68)</f>
        <v>13.06902543893354</v>
      </c>
      <c r="E68" s="327" t="s">
        <v>18</v>
      </c>
      <c r="F68" s="346" t="s">
        <v>1014</v>
      </c>
      <c r="G68" s="328">
        <v>123.62</v>
      </c>
      <c r="H68" s="328">
        <f t="shared" si="5"/>
        <v>1615.5929247609643</v>
      </c>
      <c r="J68" s="346" t="s">
        <v>1016</v>
      </c>
      <c r="K68" s="186">
        <v>0.5</v>
      </c>
      <c r="L68" s="351" t="s">
        <v>0</v>
      </c>
      <c r="N68" s="187"/>
    </row>
    <row r="69" spans="2:14">
      <c r="B69" s="385" t="s">
        <v>364</v>
      </c>
      <c r="C69" s="346" t="s">
        <v>1021</v>
      </c>
      <c r="D69" s="187">
        <f>D68</f>
        <v>13.06902543893354</v>
      </c>
      <c r="E69" s="347" t="s">
        <v>18</v>
      </c>
      <c r="F69" s="346" t="s">
        <v>1022</v>
      </c>
      <c r="G69" s="328">
        <v>122.18</v>
      </c>
      <c r="H69" s="328">
        <f t="shared" ref="H69:H70" si="6">G69*D69</f>
        <v>1596.7735281289001</v>
      </c>
      <c r="J69" s="346" t="s">
        <v>1017</v>
      </c>
      <c r="K69" s="186">
        <v>0.8</v>
      </c>
      <c r="L69" s="351" t="s">
        <v>0</v>
      </c>
    </row>
    <row r="70" spans="2:14">
      <c r="B70" s="385" t="s">
        <v>365</v>
      </c>
      <c r="C70" s="346" t="s">
        <v>1023</v>
      </c>
      <c r="D70" s="187">
        <f>((2*PI()*($K$67/2))*$K$69*($K$68-$K$70))</f>
        <v>10.455220351146833</v>
      </c>
      <c r="E70" s="347" t="s">
        <v>18</v>
      </c>
      <c r="F70" s="347" t="s">
        <v>1024</v>
      </c>
      <c r="G70" s="328">
        <v>63.05</v>
      </c>
      <c r="H70" s="328">
        <f t="shared" si="6"/>
        <v>659.20164313980774</v>
      </c>
      <c r="J70" s="346" t="s">
        <v>1018</v>
      </c>
      <c r="K70" s="186">
        <v>0.1</v>
      </c>
      <c r="L70" s="352" t="s">
        <v>0</v>
      </c>
    </row>
    <row r="71" spans="2:14">
      <c r="B71" s="385" t="s">
        <v>1100</v>
      </c>
      <c r="C71" s="326" t="s">
        <v>1019</v>
      </c>
      <c r="D71" s="187">
        <f>((2*PI()*($K$67/2))*$K$69)</f>
        <v>26.13805087786708</v>
      </c>
      <c r="E71" s="347" t="s">
        <v>17</v>
      </c>
      <c r="F71" s="346" t="s">
        <v>1020</v>
      </c>
      <c r="G71" s="328">
        <v>105.05</v>
      </c>
      <c r="H71" s="328">
        <f t="shared" si="5"/>
        <v>2745.8022447199369</v>
      </c>
      <c r="L71" s="324"/>
    </row>
    <row r="72" spans="2:14">
      <c r="B72" s="385" t="s">
        <v>1101</v>
      </c>
      <c r="C72" s="346" t="s">
        <v>1034</v>
      </c>
      <c r="D72" s="187">
        <f>2*PI()*(K67/2)</f>
        <v>32.672563597333848</v>
      </c>
      <c r="E72" s="347" t="s">
        <v>0</v>
      </c>
      <c r="F72" s="346" t="s">
        <v>1025</v>
      </c>
      <c r="G72" s="328">
        <v>51.53</v>
      </c>
      <c r="H72" s="328">
        <f t="shared" si="5"/>
        <v>1683.6172021706132</v>
      </c>
      <c r="L72" s="324"/>
    </row>
    <row r="73" spans="2:14">
      <c r="B73" s="360"/>
      <c r="C73" s="326"/>
      <c r="D73" s="187"/>
      <c r="E73" s="347"/>
      <c r="F73" s="346"/>
      <c r="G73" s="345" t="s">
        <v>998</v>
      </c>
      <c r="H73" s="328">
        <f>SUM(H62:H72)</f>
        <v>169982.0130967646</v>
      </c>
      <c r="L73" s="324"/>
    </row>
    <row r="74" spans="2:14">
      <c r="B74" s="360"/>
      <c r="C74" s="326"/>
      <c r="D74" s="187"/>
      <c r="E74" s="347"/>
      <c r="F74" s="346"/>
      <c r="G74" s="348" t="s">
        <v>1026</v>
      </c>
      <c r="H74" s="328">
        <f>H55+H73+H59</f>
        <v>178744.4230967646</v>
      </c>
      <c r="L74" s="324"/>
    </row>
    <row r="75" spans="2:14">
      <c r="B75" s="360"/>
      <c r="C75" s="326"/>
      <c r="D75" s="187"/>
      <c r="E75" s="347"/>
      <c r="F75" s="346"/>
      <c r="G75" s="348"/>
      <c r="H75" s="328"/>
      <c r="L75" s="324"/>
    </row>
    <row r="76" spans="2:14">
      <c r="B76" s="361"/>
      <c r="C76" s="362"/>
      <c r="D76" s="353"/>
      <c r="E76" s="354"/>
      <c r="F76" s="355"/>
      <c r="G76" s="356" t="s">
        <v>328</v>
      </c>
      <c r="H76" s="356">
        <f>D44+H74</f>
        <v>178744.4230967646</v>
      </c>
      <c r="I76" s="332"/>
      <c r="J76" s="332"/>
      <c r="K76" s="332"/>
      <c r="L76" s="333"/>
    </row>
    <row r="79" spans="2:14">
      <c r="B79" s="358"/>
      <c r="C79" s="364" t="s">
        <v>1001</v>
      </c>
      <c r="D79" s="321"/>
      <c r="E79" s="321"/>
      <c r="F79" s="321"/>
      <c r="G79" s="321"/>
      <c r="H79" s="321"/>
      <c r="I79" s="321"/>
      <c r="J79" s="321"/>
      <c r="K79" s="321"/>
      <c r="L79" s="322"/>
    </row>
    <row r="80" spans="2:14">
      <c r="B80" s="359"/>
      <c r="C80" s="357" t="s">
        <v>1090</v>
      </c>
      <c r="L80" s="324"/>
    </row>
    <row r="81" spans="2:12">
      <c r="B81" s="359"/>
      <c r="C81" s="326" t="s">
        <v>1010</v>
      </c>
      <c r="D81" s="329" t="s">
        <v>990</v>
      </c>
      <c r="E81" s="329" t="s">
        <v>989</v>
      </c>
      <c r="F81" s="329" t="s">
        <v>152</v>
      </c>
      <c r="G81" s="329" t="s">
        <v>1000</v>
      </c>
      <c r="L81" s="324"/>
    </row>
    <row r="82" spans="2:12">
      <c r="B82" s="359"/>
      <c r="C82" s="325" t="s">
        <v>991</v>
      </c>
      <c r="D82" s="187">
        <f>3.6*3.1416</f>
        <v>11.309760000000001</v>
      </c>
      <c r="E82" s="186">
        <v>3.1</v>
      </c>
      <c r="F82" s="186">
        <v>1.2150000000000001</v>
      </c>
      <c r="G82" s="187">
        <f>+(D82*E82*F82)*7.854</f>
        <v>334.56634950816004</v>
      </c>
      <c r="L82" s="324"/>
    </row>
    <row r="83" spans="2:12">
      <c r="B83" s="359"/>
      <c r="C83" s="325" t="s">
        <v>992</v>
      </c>
      <c r="D83" s="335">
        <f>12.5*1.2</f>
        <v>15</v>
      </c>
      <c r="E83" s="186">
        <v>3.1</v>
      </c>
      <c r="F83" s="186"/>
      <c r="G83" s="187">
        <f>+(D83*E83)*7.854</f>
        <v>365.21100000000001</v>
      </c>
      <c r="L83" s="324"/>
    </row>
    <row r="84" spans="2:12">
      <c r="B84" s="359"/>
      <c r="C84" s="325" t="s">
        <v>993</v>
      </c>
      <c r="D84" s="187">
        <v>250</v>
      </c>
      <c r="E84" s="186"/>
      <c r="F84" s="186"/>
      <c r="G84" s="186">
        <f>+D84</f>
        <v>250</v>
      </c>
      <c r="H84" s="334" t="s">
        <v>999</v>
      </c>
      <c r="I84" s="329" t="s">
        <v>998</v>
      </c>
      <c r="L84" s="324"/>
    </row>
    <row r="85" spans="2:12">
      <c r="B85" s="359"/>
      <c r="C85" s="325" t="s">
        <v>994</v>
      </c>
      <c r="D85" s="186"/>
      <c r="E85" s="186"/>
      <c r="F85" s="186"/>
      <c r="G85" s="187">
        <f>SUM(G82:G84)</f>
        <v>949.77734950816011</v>
      </c>
      <c r="H85" s="328">
        <v>18.3</v>
      </c>
      <c r="I85" s="365">
        <f>+H85*G85</f>
        <v>17380.92549599933</v>
      </c>
      <c r="L85" s="324"/>
    </row>
    <row r="86" spans="2:12">
      <c r="B86" s="359"/>
      <c r="C86" s="325"/>
      <c r="I86" s="186"/>
      <c r="L86" s="324"/>
    </row>
    <row r="87" spans="2:12">
      <c r="B87" s="359"/>
      <c r="C87" s="325"/>
      <c r="I87" s="186"/>
      <c r="L87" s="324"/>
    </row>
    <row r="88" spans="2:12">
      <c r="B88" s="359"/>
      <c r="C88" s="329" t="s">
        <v>794</v>
      </c>
      <c r="D88" s="329" t="s">
        <v>826</v>
      </c>
      <c r="E88" s="329" t="s">
        <v>118</v>
      </c>
      <c r="F88" s="329" t="s">
        <v>995</v>
      </c>
      <c r="G88" s="329" t="s">
        <v>996</v>
      </c>
      <c r="H88" s="329" t="s">
        <v>833</v>
      </c>
      <c r="L88" s="324"/>
    </row>
    <row r="89" spans="2:12" ht="30">
      <c r="B89" s="359"/>
      <c r="C89" s="381" t="str">
        <f>+C65</f>
        <v>JATEAMENTO C/MINÉRIO TIPO ESFÉRICO GRANULOM. 12/20 ALFA ALUMINA - 80% (interno SA3 e externo SA2.1/2)</v>
      </c>
      <c r="D89" s="187">
        <f>((3.6*3.1416*10.8*2)+(12+12+12))*1.1</f>
        <v>308.3198976000001</v>
      </c>
      <c r="E89" s="327" t="s">
        <v>17</v>
      </c>
      <c r="F89" s="327" t="str">
        <f>+F65</f>
        <v>SABESP 70190026</v>
      </c>
      <c r="G89" s="328">
        <f>+G65</f>
        <v>50.75</v>
      </c>
      <c r="H89" s="328">
        <f>G89*D89</f>
        <v>15647.234803200005</v>
      </c>
      <c r="L89" s="324"/>
    </row>
    <row r="90" spans="2:12">
      <c r="B90" s="359"/>
      <c r="C90" s="325" t="str">
        <f>+C67</f>
        <v>PINTURA IMPERMEABILIZANTE, CINCO DEMÃOS DE POLIURETANO (3 demãos) - externo</v>
      </c>
      <c r="D90" s="187">
        <f>((3.6*3.1416*10.8*1)+(12))*1.1</f>
        <v>147.55994880000006</v>
      </c>
      <c r="E90" s="327" t="s">
        <v>17</v>
      </c>
      <c r="F90" s="382" t="str">
        <f>+F67</f>
        <v>SABESP 70190121</v>
      </c>
      <c r="G90" s="328">
        <f>+G67</f>
        <v>95.3</v>
      </c>
      <c r="H90" s="328">
        <f t="shared" ref="H90:H91" si="7">G90*D90</f>
        <v>14062.463120640004</v>
      </c>
      <c r="L90" s="324"/>
    </row>
    <row r="91" spans="2:12" ht="45">
      <c r="B91" s="359"/>
      <c r="C91" s="381" t="str">
        <f>+C66</f>
        <v>REVESTIMENTO IMPERMEABILIZANTE E ANTICORROSIVO EPÓXI ISENTO DE SOLVENTES, DE ALTA RESISTÊNCIA QUÍMICA, COM PREPARAÇÃO DA SUPERFÍCIE COM PRIMER, PARTE INTERNA E EXTERNA DO RESERVATÓRIO</v>
      </c>
      <c r="D91" s="187">
        <f>((3.6*3.1416*10.8*1)+(12+12))*1.05</f>
        <v>153.45267840000005</v>
      </c>
      <c r="E91" s="327" t="s">
        <v>17</v>
      </c>
      <c r="F91" s="382" t="str">
        <f>+F66</f>
        <v>SABESP 70190164</v>
      </c>
      <c r="G91" s="328">
        <f>+G66</f>
        <v>193.05</v>
      </c>
      <c r="H91" s="328">
        <f t="shared" si="7"/>
        <v>29624.039565120012</v>
      </c>
      <c r="L91" s="324"/>
    </row>
    <row r="92" spans="2:12">
      <c r="B92" s="359"/>
      <c r="G92" s="329" t="s">
        <v>998</v>
      </c>
      <c r="H92" s="330">
        <f>SUM(H89:H91)</f>
        <v>59333.737488960018</v>
      </c>
      <c r="L92" s="324"/>
    </row>
    <row r="93" spans="2:12">
      <c r="B93" s="359"/>
      <c r="L93" s="324"/>
    </row>
    <row r="94" spans="2:12">
      <c r="B94" s="366"/>
      <c r="C94" s="332"/>
      <c r="D94" s="332"/>
      <c r="E94" s="332"/>
      <c r="F94" s="332"/>
      <c r="G94" s="337" t="s">
        <v>328</v>
      </c>
      <c r="H94" s="338">
        <f>I85+H92</f>
        <v>76714.662984959345</v>
      </c>
      <c r="I94" s="332"/>
      <c r="J94" s="332"/>
      <c r="K94" s="332"/>
      <c r="L94" s="333"/>
    </row>
    <row r="97" spans="2:12">
      <c r="B97" s="358"/>
      <c r="C97" s="364" t="s">
        <v>1088</v>
      </c>
      <c r="D97" s="321"/>
      <c r="E97" s="321"/>
      <c r="F97" s="321"/>
      <c r="G97" s="321"/>
      <c r="H97" s="321"/>
      <c r="I97" s="321"/>
      <c r="J97" s="321"/>
      <c r="K97" s="321"/>
      <c r="L97" s="322"/>
    </row>
    <row r="98" spans="2:12">
      <c r="B98" s="359"/>
      <c r="C98" s="357" t="s">
        <v>1136</v>
      </c>
      <c r="L98" s="324"/>
    </row>
    <row r="99" spans="2:12">
      <c r="B99" s="359"/>
      <c r="C99" s="329" t="s">
        <v>794</v>
      </c>
      <c r="D99" s="350" t="s">
        <v>826</v>
      </c>
      <c r="E99" s="329" t="s">
        <v>118</v>
      </c>
      <c r="F99" s="329" t="s">
        <v>995</v>
      </c>
      <c r="G99" s="329" t="s">
        <v>996</v>
      </c>
      <c r="H99" s="329" t="s">
        <v>833</v>
      </c>
      <c r="L99" s="324"/>
    </row>
    <row r="100" spans="2:12">
      <c r="B100" s="359"/>
      <c r="C100" s="376" t="s">
        <v>1105</v>
      </c>
      <c r="D100" s="377">
        <v>0</v>
      </c>
      <c r="E100" s="378" t="s">
        <v>987</v>
      </c>
      <c r="F100" s="378" t="s">
        <v>1108</v>
      </c>
      <c r="G100" s="328">
        <v>2500</v>
      </c>
      <c r="H100" s="328">
        <f>+G100*D100</f>
        <v>0</v>
      </c>
      <c r="L100" s="324"/>
    </row>
    <row r="101" spans="2:12">
      <c r="B101" s="359"/>
      <c r="C101" s="367" t="s">
        <v>1091</v>
      </c>
      <c r="D101" s="187">
        <f>2*10</f>
        <v>20</v>
      </c>
      <c r="E101" s="327" t="s">
        <v>108</v>
      </c>
      <c r="F101" s="327" t="s">
        <v>1008</v>
      </c>
      <c r="G101" s="328">
        <v>153.58000000000001</v>
      </c>
      <c r="H101" s="328">
        <f>G101*D101</f>
        <v>3071.6000000000004</v>
      </c>
      <c r="L101" s="324"/>
    </row>
    <row r="102" spans="2:12">
      <c r="B102" s="359"/>
      <c r="C102" s="483" t="s">
        <v>1151</v>
      </c>
      <c r="D102" s="344">
        <v>8</v>
      </c>
      <c r="E102" s="327" t="s">
        <v>108</v>
      </c>
      <c r="F102" s="327" t="s">
        <v>1005</v>
      </c>
      <c r="G102" s="328">
        <f>G49</f>
        <v>118.42</v>
      </c>
      <c r="H102" s="328">
        <f>G102*D102</f>
        <v>947.36</v>
      </c>
      <c r="L102" s="324"/>
    </row>
    <row r="103" spans="2:12">
      <c r="B103" s="359"/>
      <c r="C103" s="483" t="s">
        <v>1150</v>
      </c>
      <c r="D103" s="187">
        <f>2*8</f>
        <v>16</v>
      </c>
      <c r="E103" s="327" t="s">
        <v>108</v>
      </c>
      <c r="F103" s="368" t="s">
        <v>1087</v>
      </c>
      <c r="G103" s="189">
        <v>34</v>
      </c>
      <c r="H103" s="328">
        <f>G103*D103</f>
        <v>544</v>
      </c>
      <c r="L103" s="324"/>
    </row>
    <row r="104" spans="2:12">
      <c r="B104" s="359"/>
      <c r="C104" s="483" t="s">
        <v>1149</v>
      </c>
      <c r="D104" s="344">
        <f>D103*2</f>
        <v>32</v>
      </c>
      <c r="E104" s="327" t="s">
        <v>108</v>
      </c>
      <c r="F104" s="368" t="s">
        <v>1089</v>
      </c>
      <c r="G104" s="185">
        <v>29.19</v>
      </c>
      <c r="H104" s="328">
        <f>G104*D104</f>
        <v>934.08</v>
      </c>
      <c r="L104" s="324"/>
    </row>
    <row r="105" spans="2:12">
      <c r="B105" s="359"/>
      <c r="L105" s="324"/>
    </row>
    <row r="106" spans="2:12">
      <c r="B106" s="366"/>
      <c r="C106" s="332"/>
      <c r="D106" s="332"/>
      <c r="E106" s="332"/>
      <c r="F106" s="332"/>
      <c r="G106" s="337" t="s">
        <v>328</v>
      </c>
      <c r="H106" s="338">
        <f>SUM(H100:H104)</f>
        <v>5497.0400000000009</v>
      </c>
      <c r="I106" s="332"/>
      <c r="J106" s="332"/>
      <c r="K106" s="332"/>
      <c r="L106" s="333"/>
    </row>
  </sheetData>
  <pageMargins left="0.511811024" right="0.511811024" top="0.78740157499999996" bottom="0.78740157499999996" header="0.31496062000000002" footer="0.31496062000000002"/>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9</vt:i4>
      </vt:variant>
    </vt:vector>
  </HeadingPairs>
  <TitlesOfParts>
    <vt:vector size="21" baseType="lpstr">
      <vt:lpstr>Instruções de Uso</vt:lpstr>
      <vt:lpstr>Planilha Orçamentária</vt:lpstr>
      <vt:lpstr>SINTÉTICA</vt:lpstr>
      <vt:lpstr>OBSOLETO</vt:lpstr>
      <vt:lpstr>CRON. F. FINANCEIRO</vt:lpstr>
      <vt:lpstr>BDI</vt:lpstr>
      <vt:lpstr>PLANILHA</vt:lpstr>
      <vt:lpstr>MM DE CÁLCULO</vt:lpstr>
      <vt:lpstr>Dimensionamento</vt:lpstr>
      <vt:lpstr>Reservatório</vt:lpstr>
      <vt:lpstr>CX MACROS</vt:lpstr>
      <vt:lpstr>Composição 04</vt:lpstr>
      <vt:lpstr>BDI!Area_de_impressao</vt:lpstr>
      <vt:lpstr>'MM DE CÁLCULO'!Area_de_impressao</vt:lpstr>
      <vt:lpstr>PLANILHA!Area_de_impressao</vt:lpstr>
      <vt:lpstr>'Planilha Orçamentária'!Area_de_impressao</vt:lpstr>
      <vt:lpstr>SINTÉTICA!Area_de_impressao</vt:lpstr>
      <vt:lpstr>'CRON. F. FINANCEIRO'!Titulos_de_impressao</vt:lpstr>
      <vt:lpstr>'MM DE CÁLCULO'!Titulos_de_impressao</vt:lpstr>
      <vt:lpstr>PLANILHA!Titulos_de_impressao</vt:lpstr>
      <vt:lpstr>SINTÉTICA!Titulos_de_impressao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2023-05-04T00:18:07Z</dcterms:created>
  <dcterms:modified xsi:type="dcterms:W3CDTF">2024-05-29T18:05:32Z</dcterms:modified>
</cp:coreProperties>
</file>